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State Plans by Year\FY 2025 E&amp;T Plans\Approved Plans\508 Compliant Plans for Website\NY\"/>
    </mc:Choice>
  </mc:AlternateContent>
  <xr:revisionPtr revIDLastSave="0" documentId="13_ncr:1_{DB5B4036-BC50-473C-B19D-489A269B67DE}" xr6:coauthVersionLast="47" xr6:coauthVersionMax="47" xr10:uidLastSave="{00000000-0000-0000-0000-000000000000}"/>
  <workbookProtection lockStructure="1"/>
  <bookViews>
    <workbookView xWindow="28680" yWindow="-120" windowWidth="29040" windowHeight="15720"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5 Final Allocations 5-10-24" sheetId="4" r:id="rId9"/>
    <sheet name="lookups" sheetId="3" state="hidden"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5" l="1"/>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R57" i="5" s="1"/>
  <c r="W56" i="5"/>
  <c r="V56" i="5"/>
  <c r="U56" i="5"/>
  <c r="T56" i="5"/>
  <c r="X56" i="5" s="1"/>
  <c r="Q56" i="5"/>
  <c r="P56" i="5"/>
  <c r="O56" i="5"/>
  <c r="N56" i="5"/>
  <c r="R56" i="5" s="1"/>
  <c r="W55" i="5"/>
  <c r="V55" i="5"/>
  <c r="U55" i="5"/>
  <c r="T55" i="5"/>
  <c r="X55" i="5" s="1"/>
  <c r="Q55" i="5"/>
  <c r="P55" i="5"/>
  <c r="O55" i="5"/>
  <c r="N55" i="5"/>
  <c r="R55" i="5" s="1"/>
  <c r="W54" i="5"/>
  <c r="V54" i="5"/>
  <c r="U54" i="5"/>
  <c r="T54" i="5"/>
  <c r="X54" i="5" s="1"/>
  <c r="Q54" i="5"/>
  <c r="P54" i="5"/>
  <c r="O54" i="5"/>
  <c r="N54" i="5"/>
  <c r="R54" i="5" s="1"/>
  <c r="W53" i="5"/>
  <c r="V53" i="5"/>
  <c r="U53" i="5"/>
  <c r="T53" i="5"/>
  <c r="X53" i="5" s="1"/>
  <c r="Q53" i="5"/>
  <c r="P53" i="5"/>
  <c r="O53" i="5"/>
  <c r="N53" i="5"/>
  <c r="R53" i="5" s="1"/>
  <c r="W52" i="5"/>
  <c r="V52" i="5"/>
  <c r="U52" i="5"/>
  <c r="T52" i="5"/>
  <c r="X52" i="5" s="1"/>
  <c r="Q52" i="5"/>
  <c r="P52" i="5"/>
  <c r="O52" i="5"/>
  <c r="N52" i="5"/>
  <c r="R52" i="5" s="1"/>
  <c r="W51" i="5"/>
  <c r="V51" i="5"/>
  <c r="U51" i="5"/>
  <c r="T51" i="5"/>
  <c r="X51" i="5" s="1"/>
  <c r="Q51" i="5"/>
  <c r="P51" i="5"/>
  <c r="O51" i="5"/>
  <c r="N51" i="5"/>
  <c r="R51" i="5" s="1"/>
  <c r="W50" i="5"/>
  <c r="V50" i="5"/>
  <c r="U50" i="5"/>
  <c r="T50" i="5"/>
  <c r="X50" i="5" s="1"/>
  <c r="Q50" i="5"/>
  <c r="P50" i="5"/>
  <c r="O50" i="5"/>
  <c r="N50" i="5"/>
  <c r="R50" i="5" s="1"/>
  <c r="W49" i="5"/>
  <c r="V49" i="5"/>
  <c r="U49" i="5"/>
  <c r="T49" i="5"/>
  <c r="X49" i="5" s="1"/>
  <c r="Q49" i="5"/>
  <c r="P49" i="5"/>
  <c r="O49" i="5"/>
  <c r="N49" i="5"/>
  <c r="R49" i="5" s="1"/>
  <c r="W48" i="5"/>
  <c r="V48" i="5"/>
  <c r="U48" i="5"/>
  <c r="T48" i="5"/>
  <c r="X48" i="5" s="1"/>
  <c r="Q48" i="5"/>
  <c r="P48" i="5"/>
  <c r="O48" i="5"/>
  <c r="N48" i="5"/>
  <c r="R48" i="5" s="1"/>
  <c r="W47" i="5"/>
  <c r="V47" i="5"/>
  <c r="U47" i="5"/>
  <c r="T47" i="5"/>
  <c r="X47" i="5" s="1"/>
  <c r="Q47" i="5"/>
  <c r="P47" i="5"/>
  <c r="O47" i="5"/>
  <c r="N47" i="5"/>
  <c r="R47" i="5" s="1"/>
  <c r="W46" i="5"/>
  <c r="V46" i="5"/>
  <c r="U46" i="5"/>
  <c r="T46" i="5"/>
  <c r="X46" i="5" s="1"/>
  <c r="Q46" i="5"/>
  <c r="P46" i="5"/>
  <c r="O46" i="5"/>
  <c r="N46" i="5"/>
  <c r="R46" i="5" s="1"/>
  <c r="W45" i="5"/>
  <c r="V45" i="5"/>
  <c r="U45" i="5"/>
  <c r="T45" i="5"/>
  <c r="X45" i="5" s="1"/>
  <c r="Q45" i="5"/>
  <c r="P45" i="5"/>
  <c r="O45" i="5"/>
  <c r="N45" i="5"/>
  <c r="R45" i="5" s="1"/>
  <c r="W44" i="5"/>
  <c r="V44" i="5"/>
  <c r="U44" i="5"/>
  <c r="T44" i="5"/>
  <c r="X44" i="5" s="1"/>
  <c r="Q44" i="5"/>
  <c r="P44" i="5"/>
  <c r="O44" i="5"/>
  <c r="N44" i="5"/>
  <c r="R44" i="5" s="1"/>
  <c r="W43" i="5"/>
  <c r="V43" i="5"/>
  <c r="U43" i="5"/>
  <c r="T43" i="5"/>
  <c r="Q43" i="5"/>
  <c r="P43" i="5"/>
  <c r="O43" i="5"/>
  <c r="N43" i="5"/>
  <c r="R43" i="5" s="1"/>
  <c r="W42" i="5"/>
  <c r="V42" i="5"/>
  <c r="U42" i="5"/>
  <c r="T42" i="5"/>
  <c r="Q42" i="5"/>
  <c r="P42" i="5"/>
  <c r="O42" i="5"/>
  <c r="N42" i="5"/>
  <c r="W41" i="5"/>
  <c r="V41" i="5"/>
  <c r="U41" i="5"/>
  <c r="T41" i="5"/>
  <c r="Q41" i="5"/>
  <c r="P41" i="5"/>
  <c r="O41" i="5"/>
  <c r="N41" i="5"/>
  <c r="W40" i="5"/>
  <c r="V40" i="5"/>
  <c r="U40" i="5"/>
  <c r="T40" i="5"/>
  <c r="Q40" i="5"/>
  <c r="P40" i="5"/>
  <c r="O40" i="5"/>
  <c r="N40" i="5"/>
  <c r="R40" i="5" s="1"/>
  <c r="W39" i="5"/>
  <c r="V39" i="5"/>
  <c r="U39" i="5"/>
  <c r="T39" i="5"/>
  <c r="Q39" i="5"/>
  <c r="P39" i="5"/>
  <c r="O39" i="5"/>
  <c r="N39" i="5"/>
  <c r="R39" i="5" s="1"/>
  <c r="W38" i="5"/>
  <c r="V38" i="5"/>
  <c r="U38" i="5"/>
  <c r="T38" i="5"/>
  <c r="Q38" i="5"/>
  <c r="P38" i="5"/>
  <c r="O38" i="5"/>
  <c r="N38" i="5"/>
  <c r="W37" i="5"/>
  <c r="V37" i="5"/>
  <c r="U37" i="5"/>
  <c r="T37" i="5"/>
  <c r="Q37" i="5"/>
  <c r="P37" i="5"/>
  <c r="O37" i="5"/>
  <c r="N37" i="5"/>
  <c r="R37" i="5" s="1"/>
  <c r="W36" i="5"/>
  <c r="V36" i="5"/>
  <c r="U36" i="5"/>
  <c r="T36" i="5"/>
  <c r="Q36" i="5"/>
  <c r="P36" i="5"/>
  <c r="O36" i="5"/>
  <c r="N36" i="5"/>
  <c r="R36" i="5" s="1"/>
  <c r="W35" i="5"/>
  <c r="V35" i="5"/>
  <c r="U35" i="5"/>
  <c r="T35" i="5"/>
  <c r="Q35" i="5"/>
  <c r="P35" i="5"/>
  <c r="O35" i="5"/>
  <c r="N35" i="5"/>
  <c r="W34" i="5"/>
  <c r="V34" i="5"/>
  <c r="U34" i="5"/>
  <c r="T34" i="5"/>
  <c r="X34" i="5" s="1"/>
  <c r="Q34" i="5"/>
  <c r="P34" i="5"/>
  <c r="O34" i="5"/>
  <c r="N34" i="5"/>
  <c r="R34" i="5" s="1"/>
  <c r="W33" i="5"/>
  <c r="V33" i="5"/>
  <c r="U33" i="5"/>
  <c r="T33" i="5"/>
  <c r="Q33" i="5"/>
  <c r="P33" i="5"/>
  <c r="O33" i="5"/>
  <c r="N33" i="5"/>
  <c r="R33" i="5" s="1"/>
  <c r="W32" i="5"/>
  <c r="V32" i="5"/>
  <c r="U32" i="5"/>
  <c r="T32" i="5"/>
  <c r="X32" i="5" s="1"/>
  <c r="Q32" i="5"/>
  <c r="P32" i="5"/>
  <c r="O32" i="5"/>
  <c r="N32" i="5"/>
  <c r="R32" i="5" s="1"/>
  <c r="W31" i="5"/>
  <c r="V31" i="5"/>
  <c r="U31" i="5"/>
  <c r="T31" i="5"/>
  <c r="X31" i="5" s="1"/>
  <c r="Q31" i="5"/>
  <c r="P31" i="5"/>
  <c r="O31" i="5"/>
  <c r="N31" i="5"/>
  <c r="R31" i="5" s="1"/>
  <c r="W30" i="5"/>
  <c r="V30" i="5"/>
  <c r="U30" i="5"/>
  <c r="T30" i="5"/>
  <c r="Q30" i="5"/>
  <c r="P30" i="5"/>
  <c r="O30" i="5"/>
  <c r="N30" i="5"/>
  <c r="R30" i="5" s="1"/>
  <c r="W29" i="5"/>
  <c r="V29" i="5"/>
  <c r="U29" i="5"/>
  <c r="T29" i="5"/>
  <c r="Q29" i="5"/>
  <c r="P29" i="5"/>
  <c r="O29" i="5"/>
  <c r="N29" i="5"/>
  <c r="R29" i="5" s="1"/>
  <c r="W28" i="5"/>
  <c r="V28" i="5"/>
  <c r="U28" i="5"/>
  <c r="T28" i="5"/>
  <c r="X28" i="5" s="1"/>
  <c r="Q28" i="5"/>
  <c r="P28" i="5"/>
  <c r="O28" i="5"/>
  <c r="N28" i="5"/>
  <c r="R28" i="5" s="1"/>
  <c r="W27" i="5"/>
  <c r="V27" i="5"/>
  <c r="U27" i="5"/>
  <c r="T27" i="5"/>
  <c r="Q27" i="5"/>
  <c r="P27" i="5"/>
  <c r="O27" i="5"/>
  <c r="N27" i="5"/>
  <c r="R27" i="5" s="1"/>
  <c r="X41" i="5" l="1"/>
  <c r="X40" i="5"/>
  <c r="X37" i="5"/>
  <c r="X35" i="5"/>
  <c r="X33" i="5"/>
  <c r="X29" i="5"/>
  <c r="X27" i="5"/>
  <c r="X43" i="5"/>
  <c r="R35" i="5"/>
  <c r="X36" i="5"/>
  <c r="R38" i="5"/>
  <c r="X39" i="5"/>
  <c r="R41" i="5"/>
  <c r="X42" i="5"/>
  <c r="R42" i="5"/>
  <c r="X86" i="5"/>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Q4" i="5" s="1"/>
  <c r="P7" i="5"/>
  <c r="P4" i="5" s="1"/>
  <c r="O7" i="5"/>
  <c r="O4" i="5" s="1"/>
  <c r="N7" i="5"/>
  <c r="X9" i="5" l="1"/>
  <c r="V4" i="5"/>
  <c r="W4" i="5"/>
  <c r="U4" i="5"/>
  <c r="T4" i="5"/>
  <c r="N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X4" i="5" l="1"/>
  <c r="O14" i="3"/>
  <c r="R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<sst xmlns="http://schemas.openxmlformats.org/spreadsheetml/2006/main" count="534" uniqueCount="374">
  <si>
    <t>State Name (choose from drop down list)</t>
  </si>
  <si>
    <t>NEW YORK</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</si>
  <si>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</si>
  <si>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</si>
  <si>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</si>
  <si>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</si>
  <si>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</si>
  <si>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</si>
  <si>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</si>
  <si>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</si>
  <si>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</si>
  <si>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</si>
  <si>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</si>
  <si>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</si>
  <si>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</si>
  <si>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</si>
  <si>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</si>
  <si>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</si>
  <si>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</si>
  <si>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</si>
  <si>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</si>
  <si>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</si>
  <si>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</si>
  <si>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</si>
  <si>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</si>
  <si>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</si>
  <si>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</si>
  <si>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</si>
  <si>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</si>
  <si>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Agudath Israel of America Community Services</t>
  </si>
  <si>
    <t>No</t>
  </si>
  <si>
    <t>E&amp;T Services</t>
  </si>
  <si>
    <t>BOCES Cayuga County</t>
  </si>
  <si>
    <t>Center for Employment Opportunities</t>
  </si>
  <si>
    <t>Clinton-Essex-Warren-Washington BOCES</t>
  </si>
  <si>
    <t>Cypress Hills Local Development Corporation</t>
  </si>
  <si>
    <t>Edith and Carl Marks JCH of Bensonhurst</t>
  </si>
  <si>
    <t>El Barrio’s Operation Fight Back</t>
  </si>
  <si>
    <t>Erie-2-Chautauqua-Cattaraugus BOCES</t>
  </si>
  <si>
    <t>Grace Institute of New York</t>
  </si>
  <si>
    <t>Henry Street Settlement</t>
  </si>
  <si>
    <t>Housing Works</t>
  </si>
  <si>
    <t>Kelm Inc. d/b/a Kelm Academy</t>
  </si>
  <si>
    <t>Kenmore-Town of Towanda UFSD</t>
  </si>
  <si>
    <t>Leap</t>
  </si>
  <si>
    <t>Literacy West NY</t>
  </si>
  <si>
    <t>Northern Manhattan Improvement Corporation</t>
  </si>
  <si>
    <t>Orleans-Niagara BOCES</t>
  </si>
  <si>
    <t>Paraprofessional Healthcare Institute</t>
  </si>
  <si>
    <t>Per Scholas</t>
  </si>
  <si>
    <t>Project Renewal</t>
  </si>
  <si>
    <t>Samuel Field YM&amp;YWHA</t>
  </si>
  <si>
    <t>Schuyler-Steuben-Chemung-Tioga-Allegany BOCES</t>
  </si>
  <si>
    <t>St. Lawrence-Lewis BOCES</t>
  </si>
  <si>
    <t>STRIVE International</t>
  </si>
  <si>
    <t>The Fortune Society</t>
  </si>
  <si>
    <t>The Hope Program</t>
  </si>
  <si>
    <t>The RF of CUNY obo Manhattan Community College</t>
  </si>
  <si>
    <t>The RF of CUNY obo Kingsborough Community College</t>
  </si>
  <si>
    <t>Nassau County Equal Opportunity Center</t>
  </si>
  <si>
    <t>Capital District Women's Employment and Resource Center</t>
  </si>
  <si>
    <t>Tompkin's County Women's Opportunity Center (2 Centers)</t>
  </si>
  <si>
    <t>Schenectady Community Action Program, Inc. / Fulton Montgomery Community College (2 Centers)</t>
  </si>
  <si>
    <t>Suffolk County Department of Labor</t>
  </si>
  <si>
    <t>Schoharie Community Action Program, Inc.</t>
  </si>
  <si>
    <t>Empowered Pathways, Inc.</t>
  </si>
  <si>
    <t>Bronx Community College</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</si>
  <si>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</si>
  <si>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</si>
  <si>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</si>
  <si>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</si>
  <si>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</si>
  <si>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</si>
  <si>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</si>
  <si>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</si>
  <si>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</si>
  <si>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</si>
  <si>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</si>
  <si>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</si>
  <si>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</si>
  <si>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</si>
  <si>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</si>
  <si>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</si>
  <si>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</si>
  <si>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</si>
  <si>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</si>
  <si>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</si>
  <si>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</si>
  <si>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</si>
  <si>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</si>
  <si>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</si>
  <si>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</si>
  <si>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</si>
  <si>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</si>
  <si>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</si>
  <si>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</si>
  <si>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</si>
  <si>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</si>
  <si>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</si>
  <si>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</si>
  <si>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</si>
  <si>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</si>
  <si>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</si>
  <si>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</si>
  <si>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</si>
  <si>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</si>
  <si>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</si>
  <si>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</si>
  <si>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</si>
  <si>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</si>
  <si>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</si>
  <si>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</si>
  <si>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</si>
  <si>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</si>
  <si>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</si>
  <si>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</si>
  <si>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</si>
  <si>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</si>
  <si>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</si>
  <si>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</si>
  <si>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</si>
  <si>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</si>
  <si>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</si>
  <si>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</si>
  <si>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</si>
  <si>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</si>
  <si>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</si>
  <si>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</si>
  <si>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</si>
  <si>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</si>
  <si>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</si>
  <si>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</si>
  <si>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</si>
  <si>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</si>
  <si>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</si>
  <si>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</si>
  <si>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</si>
  <si>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</si>
  <si>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</si>
  <si>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</si>
  <si>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</si>
  <si>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</si>
  <si>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</si>
  <si>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</si>
  <si>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</si>
  <si>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</si>
  <si>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</si>
  <si>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</si>
  <si>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</si>
  <si>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</si>
  <si>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</si>
  <si>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</si>
  <si>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</si>
  <si>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</si>
  <si>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</si>
  <si>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</si>
  <si>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</si>
  <si>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</si>
  <si>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</si>
  <si>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</si>
  <si>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</si>
  <si>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</si>
  <si>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</si>
  <si>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</si>
  <si>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</si>
  <si>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</si>
  <si>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</si>
  <si>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</si>
  <si>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</si>
  <si>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</si>
  <si>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</si>
  <si>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</si>
  <si>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</si>
  <si>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</si>
  <si>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</si>
  <si>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</si>
  <si>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</si>
  <si>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</si>
  <si>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</si>
  <si>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</si>
  <si>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</si>
  <si>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</si>
  <si>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</si>
  <si>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</si>
  <si>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</si>
  <si>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</si>
  <si>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</si>
  <si>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</si>
  <si>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</si>
  <si>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1. Geographic Area</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</si>
  <si>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</si>
  <si>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</si>
  <si>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</si>
  <si>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</si>
  <si>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</si>
  <si>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</si>
  <si>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</si>
  <si>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</si>
  <si>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</si>
  <si>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</si>
  <si>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</si>
  <si>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</si>
  <si>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</si>
  <si>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</si>
  <si>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</si>
  <si>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</si>
  <si>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</si>
  <si>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</si>
  <si>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</si>
  <si>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</si>
  <si>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</si>
  <si>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</si>
  <si>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</si>
  <si>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</si>
  <si>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</si>
  <si>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</si>
  <si>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</si>
  <si>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</si>
  <si>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</si>
  <si>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</si>
  <si>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</si>
  <si>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</si>
  <si>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</si>
  <si>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</si>
  <si>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</si>
  <si>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</si>
  <si>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</si>
  <si>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</si>
  <si>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</si>
  <si>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</si>
  <si>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</si>
  <si>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</si>
  <si>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</si>
  <si>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</si>
  <si>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</si>
  <si>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</si>
  <si>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</si>
  <si>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</si>
  <si>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</si>
  <si>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</si>
  <si>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</si>
  <si>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</si>
  <si>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</si>
  <si>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</si>
  <si>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</si>
  <si>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</si>
  <si>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</si>
  <si>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</si>
  <si>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</si>
  <si>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</si>
  <si>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</si>
  <si>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</si>
  <si>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</si>
  <si>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</si>
  <si>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</si>
  <si>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</si>
  <si>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</si>
  <si>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</si>
  <si>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</si>
  <si>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</si>
  <si>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</si>
  <si>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</si>
  <si>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</si>
  <si>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</si>
  <si>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</si>
  <si>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</si>
  <si>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</si>
  <si>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</si>
  <si>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</si>
  <si>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</si>
  <si>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</si>
  <si>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</si>
  <si>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</si>
  <si>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</si>
  <si>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</si>
  <si>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</si>
  <si>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</si>
  <si>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</si>
  <si>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</si>
  <si>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</si>
  <si>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</si>
  <si>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</si>
  <si>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</si>
  <si>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</si>
  <si>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</si>
  <si>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</si>
  <si>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</si>
  <si>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</si>
  <si>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</si>
  <si>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</si>
  <si>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</si>
  <si>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</si>
  <si>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</si>
  <si>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</si>
  <si>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</si>
  <si>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</si>
  <si>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</si>
  <si>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</si>
  <si>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</si>
  <si>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</si>
  <si>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</si>
  <si>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</si>
  <si>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</si>
  <si>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</si>
  <si>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</si>
  <si>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</si>
  <si>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</si>
  <si>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</si>
  <si>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</si>
  <si>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</si>
  <si>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</si>
  <si>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</si>
  <si>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</si>
  <si>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</si>
  <si>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</si>
  <si>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</si>
  <si>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</si>
  <si>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Internship (WBLI-Sub)</t>
  </si>
  <si>
    <t>If 100 Percent Federal funds are used</t>
  </si>
  <si>
    <t>Attainment of Certificate/Credential</t>
  </si>
  <si>
    <t>State agency</t>
  </si>
  <si>
    <t xml:space="preserve">E&amp;T Provider is employer of record and receives wage subsidy as employer </t>
  </si>
  <si>
    <t>Construction</t>
  </si>
  <si>
    <t>1 month</t>
  </si>
  <si>
    <t>Tab A - Column C - 100% Adm</t>
  </si>
  <si>
    <t>FY2021</t>
  </si>
  <si>
    <t>Yes</t>
  </si>
  <si>
    <t>Pre-Apprenticeship (WBLPA-Sub)</t>
  </si>
  <si>
    <t>If 50/50 Funds are used</t>
  </si>
  <si>
    <t>Basic Skills Gain</t>
  </si>
  <si>
    <t>E&amp;T Provider</t>
  </si>
  <si>
    <t>E&amp;T Provider is Intermediary between SA and 1 or more employers</t>
  </si>
  <si>
    <t>Education</t>
  </si>
  <si>
    <t>2 months</t>
  </si>
  <si>
    <t>Tab B - Federal share State Direct Costs + Indirect less  Non-Fed Share of State Direct Costs and Indirect</t>
  </si>
  <si>
    <t>FY2022</t>
  </si>
  <si>
    <t>Automation/IT</t>
  </si>
  <si>
    <t>Apprenticeship (WBLA-Sub)</t>
  </si>
  <si>
    <t>Industry Skills Gain</t>
  </si>
  <si>
    <t>Worksite Employer</t>
  </si>
  <si>
    <t>SA contracts with both E&amp;T Provider and Employers</t>
  </si>
  <si>
    <t>Foodservice</t>
  </si>
  <si>
    <t>3 months</t>
  </si>
  <si>
    <t>Tab E - Optional County 100% Adm</t>
  </si>
  <si>
    <t>FY2023</t>
  </si>
  <si>
    <t>Marketing</t>
  </si>
  <si>
    <t>Transitional Jobs (WBLTJ-Sub)</t>
  </si>
  <si>
    <t>Healthcare services</t>
  </si>
  <si>
    <t>4 months</t>
  </si>
  <si>
    <t>Total Admin costs to distribute across 100 Percent Federal Funds</t>
  </si>
  <si>
    <t>FY2024</t>
  </si>
  <si>
    <t>Other</t>
  </si>
  <si>
    <t>Landscape and Horticultural</t>
  </si>
  <si>
    <t>5 months</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</si>
  <si>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</si>
  <si>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</si>
  <si>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</si>
  <si>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</si>
  <si>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</si>
  <si>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</si>
  <si>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</si>
  <si>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</si>
  <si>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</si>
  <si>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</si>
  <si>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</si>
  <si>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Multiple Industries</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</si>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</sst>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6">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4" fillId="0" borderId="4"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5" xfId="0" applyFont="1" applyBorder="1" applyAlignment="1">
      <alignment horizontal="center"/>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12" fillId="0" borderId="25" xfId="0" applyFont="1" applyBorder="1" applyAlignment="1">
      <alignment horizontal="left"/>
    </xf>
    <xf numFmtId="0" fontId="12" fillId="0" borderId="26" xfId="0" applyFont="1" applyBorder="1" applyAlignment="1">
      <alignment horizontal="left"/>
    </xf>
    <xf numFmtId="0" fontId="12" fillId="0" borderId="27" xfId="0" applyFont="1" applyBorder="1" applyAlignment="1">
      <alignment horizontal="left"/>
    </xf>
    <xf numFmtId="0" fontId="12" fillId="0" borderId="7" xfId="0" applyFont="1" applyBorder="1" applyAlignment="1">
      <alignment horizontal="left"/>
    </xf>
    <xf numFmtId="0" fontId="12" fillId="0" borderId="6" xfId="0" applyFont="1" applyBorder="1" applyAlignment="1">
      <alignment horizontal="left"/>
    </xf>
    <xf numFmtId="0" fontId="12" fillId="0" borderId="8" xfId="0" applyFont="1" applyBorder="1" applyAlignment="1">
      <alignment horizontal="left"/>
    </xf>
    <xf numFmtId="0" fontId="4" fillId="0" borderId="7" xfId="0" applyFont="1" applyBorder="1" applyAlignment="1">
      <alignment horizontal="left"/>
    </xf>
    <xf numFmtId="0" fontId="12" fillId="0" borderId="20" xfId="0" applyFont="1" applyBorder="1" applyAlignment="1">
      <alignment horizontal="left"/>
    </xf>
    <xf numFmtId="0" fontId="12" fillId="0" borderId="21" xfId="0" applyFont="1" applyBorder="1" applyAlignment="1">
      <alignment horizontal="left"/>
    </xf>
    <xf numFmtId="0" fontId="12" fillId="0" borderId="22" xfId="0" applyFont="1" applyBorder="1" applyAlignment="1">
      <alignment horizontal="left"/>
    </xf>
    <xf numFmtId="0" fontId="12" fillId="0" borderId="16" xfId="0" applyFont="1" applyBorder="1" applyAlignment="1">
      <alignment horizontal="left"/>
    </xf>
    <xf numFmtId="0" fontId="7" fillId="0" borderId="15" xfId="0" applyFont="1" applyBorder="1" applyAlignment="1">
      <alignment horizontal="left"/>
    </xf>
    <xf numFmtId="0" fontId="7" fillId="0" borderId="17" xfId="0" applyFont="1" applyBorder="1" applyAlignment="1">
      <alignment horizontal="left"/>
    </xf>
    <xf numFmtId="0" fontId="4" fillId="0" borderId="4" xfId="0" applyFont="1" applyBorder="1" applyAlignment="1">
      <alignment horizontal="left"/>
    </xf>
    <xf numFmtId="0" fontId="7" fillId="2" borderId="31" xfId="0" applyFont="1" applyFill="1" applyBorder="1" applyAlignment="1">
      <alignment horizontal="left"/>
    </xf>
    <xf numFmtId="0" fontId="12" fillId="0" borderId="4" xfId="0" applyFont="1" applyBorder="1" applyAlignment="1">
      <alignment horizontal="left"/>
    </xf>
    <xf numFmtId="0" fontId="5" fillId="0" borderId="0" xfId="0" applyFont="1" applyAlignment="1">
      <alignment horizontal="left"/>
    </xf>
    <xf numFmtId="0" fontId="5" fillId="0" borderId="5" xfId="0" applyFont="1" applyBorder="1" applyAlignment="1">
      <alignment horizontal="left"/>
    </xf>
    <xf numFmtId="0" fontId="12" fillId="0" borderId="0" xfId="0" applyFont="1" applyAlignment="1">
      <alignment horizontal="left"/>
    </xf>
    <xf numFmtId="0" fontId="12" fillId="0" borderId="5" xfId="0" applyFont="1" applyBorder="1" applyAlignment="1">
      <alignment horizontal="left"/>
    </xf>
    <xf numFmtId="0" fontId="7" fillId="0" borderId="6" xfId="0" applyFont="1" applyBorder="1" applyAlignment="1">
      <alignment horizontal="left"/>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tabSelected="1" zoomScale="86" zoomScaleNormal="86" workbookViewId="0">
      <selection activeCell="A30" sqref="A30"/>
    </sheetView>
  </sheetViews>
  <sheetFormatPr defaultColWidth="8.6640625" defaultRowHeight="13.8" x14ac:dyDescent="0.25"/>
  <cols>
    <col min="1" max="1" width="35.109375" style="24" bestFit="1" customWidth="1"/>
    <col min="2" max="2" width="22.6640625" style="24" bestFit="1" customWidth="1"/>
    <col min="3" max="3" width="16.88671875" style="24" bestFit="1" customWidth="1"/>
    <col min="4" max="4" width="21.44140625" style="80" bestFit="1" customWidth="1"/>
    <col min="5" max="5" width="21.5546875" style="80" bestFit="1" customWidth="1"/>
    <col min="6" max="6" width="17.109375" style="24" bestFit="1" customWidth="1"/>
    <col min="7" max="7" width="21.5546875" style="24" bestFit="1" customWidth="1"/>
    <col min="8" max="8" width="17.6640625" style="24" customWidth="1"/>
    <col min="9" max="9" width="16.5546875" style="24" bestFit="1" customWidth="1"/>
    <col min="10" max="10" width="16.88671875" style="24" customWidth="1"/>
    <col min="11" max="11" width="14.109375" style="107" customWidth="1"/>
    <col min="12" max="13" width="8.6640625" style="24"/>
    <col min="14" max="17" width="13.109375" style="24" customWidth="1"/>
    <col min="18" max="18" width="15.109375" style="24" customWidth="1"/>
    <col min="19" max="19" width="8.6640625" style="24"/>
    <col min="20" max="24" width="13.109375" style="24" customWidth="1"/>
    <col min="25" max="16384" width="8.6640625" style="24"/>
  </cols>
  <sheetData>
    <row r="1" spans="1:24" ht="28.2" thickBot="1" x14ac:dyDescent="0.3">
      <c r="A1" s="44" t="s">
        <v>0</v>
      </c>
      <c r="B1" s="78" t="s">
        <v>1</v>
      </c>
      <c r="C1" s="79"/>
      <c r="E1" s="81"/>
      <c r="F1" s="39"/>
      <c r="G1" s="39"/>
      <c r="H1" s="39"/>
      <c r="I1" s="40" t="s">
        <v>2</v>
      </c>
      <c r="J1" s="78" t="s">
        <v>3</v>
      </c>
      <c r="K1" s="82"/>
      <c r="N1" s="326" t="s">
        <v>4</v>
      </c>
      <c r="O1" s="327"/>
      <c r="P1" s="327"/>
      <c r="Q1" s="327"/>
      <c r="R1" s="327"/>
      <c r="S1" s="327"/>
      <c r="T1" s="327"/>
      <c r="U1" s="327"/>
      <c r="V1" s="327"/>
      <c r="W1" s="327"/>
      <c r="X1" s="328"/>
    </row>
    <row r="2" spans="1:24" ht="15.6" x14ac:dyDescent="0.3">
      <c r="A2" s="314" t="s">
        <v>5</v>
      </c>
      <c r="B2" s="315"/>
      <c r="C2" s="315"/>
      <c r="D2" s="315"/>
      <c r="E2" s="315"/>
      <c r="F2" s="315"/>
      <c r="G2" s="315"/>
      <c r="H2" s="315"/>
      <c r="I2" s="315"/>
      <c r="J2" s="315"/>
      <c r="K2" s="83"/>
      <c r="N2" s="329" t="s">
        <v>6</v>
      </c>
      <c r="O2" s="330"/>
      <c r="P2" s="330"/>
      <c r="Q2" s="330"/>
      <c r="R2" s="331"/>
      <c r="T2" s="329" t="s">
        <v>7</v>
      </c>
      <c r="U2" s="330"/>
      <c r="V2" s="330"/>
      <c r="W2" s="330"/>
      <c r="X2" s="331"/>
    </row>
    <row r="3" spans="1:24" ht="18.600000000000001" customHeight="1" thickBot="1" x14ac:dyDescent="0.35">
      <c r="A3" s="355" t="s">
        <v>8</v>
      </c>
      <c r="B3" s="356"/>
      <c r="C3" s="356"/>
      <c r="D3" s="356"/>
      <c r="E3" s="356"/>
      <c r="F3" s="356"/>
      <c r="G3" s="356"/>
      <c r="H3" s="356"/>
      <c r="I3" s="356"/>
      <c r="J3" s="356"/>
      <c r="K3" s="357"/>
      <c r="N3" s="332" t="s">
        <v>9</v>
      </c>
      <c r="O3" s="333"/>
      <c r="P3" s="333"/>
      <c r="Q3" s="333"/>
      <c r="R3" s="334"/>
      <c r="T3" s="332" t="s">
        <v>10</v>
      </c>
      <c r="U3" s="333"/>
      <c r="V3" s="333"/>
      <c r="W3" s="333"/>
      <c r="X3" s="334"/>
    </row>
    <row r="4" spans="1:24" s="188" customFormat="1" ht="18" customHeight="1" x14ac:dyDescent="0.3">
      <c r="A4" s="189" t="s">
        <v>11</v>
      </c>
      <c r="B4" s="186"/>
      <c r="C4" s="186"/>
      <c r="D4" s="190">
        <f>SUM(D7:D103)</f>
        <v>0</v>
      </c>
      <c r="E4" s="190">
        <f t="shared" ref="E4:H4" si="0">SUM(E7:E103)</f>
        <v>18188994</v>
      </c>
      <c r="F4" s="190">
        <f t="shared" si="0"/>
        <v>18188994</v>
      </c>
      <c r="G4" s="190">
        <f t="shared" si="0"/>
        <v>1124099.5</v>
      </c>
      <c r="H4" s="190">
        <f t="shared" si="0"/>
        <v>19313093.5</v>
      </c>
      <c r="I4" s="186"/>
      <c r="J4" s="190">
        <f>SUM(J7:J103)</f>
        <v>3812</v>
      </c>
      <c r="K4" s="187"/>
      <c r="N4" s="190">
        <f t="shared" ref="N4:R4" si="1">SUM(N7:N103)</f>
        <v>0</v>
      </c>
      <c r="O4" s="190">
        <f t="shared" si="1"/>
        <v>0</v>
      </c>
      <c r="P4" s="190">
        <f t="shared" si="1"/>
        <v>9094497</v>
      </c>
      <c r="Q4" s="190">
        <f t="shared" si="1"/>
        <v>9094497</v>
      </c>
      <c r="R4" s="190">
        <f t="shared" si="1"/>
        <v>18188994</v>
      </c>
      <c r="T4" s="190">
        <f t="shared" ref="T4:X4" si="2">SUM(T7:T103)</f>
        <v>0</v>
      </c>
      <c r="U4" s="190">
        <f t="shared" si="2"/>
        <v>0</v>
      </c>
      <c r="V4" s="190">
        <f t="shared" si="2"/>
        <v>562049.75</v>
      </c>
      <c r="W4" s="190">
        <f t="shared" si="2"/>
        <v>562049.75</v>
      </c>
      <c r="X4" s="190">
        <f t="shared" si="2"/>
        <v>1124099.5</v>
      </c>
    </row>
    <row r="5" spans="1:24" ht="18" customHeight="1" x14ac:dyDescent="0.3">
      <c r="A5" s="303"/>
      <c r="B5" s="304"/>
      <c r="C5" s="304"/>
      <c r="D5" s="304"/>
      <c r="E5" s="304"/>
      <c r="F5" s="304"/>
      <c r="G5" s="304"/>
      <c r="H5" s="304"/>
      <c r="I5" s="304"/>
      <c r="J5" s="304"/>
      <c r="K5" s="305"/>
      <c r="N5" s="183"/>
      <c r="O5" s="184"/>
      <c r="P5" s="184"/>
      <c r="Q5" s="184"/>
      <c r="R5" s="184"/>
      <c r="T5" s="184"/>
      <c r="U5" s="184"/>
      <c r="V5" s="184"/>
      <c r="W5" s="184"/>
      <c r="X5" s="185"/>
    </row>
    <row r="6" spans="1:24" s="84" customFormat="1" ht="117.75" customHeight="1" x14ac:dyDescent="0.25">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ht="27.6" x14ac:dyDescent="0.25">
      <c r="A7" s="97" t="s">
        <v>29</v>
      </c>
      <c r="B7" s="93" t="s">
        <v>30</v>
      </c>
      <c r="C7" s="93" t="s">
        <v>31</v>
      </c>
      <c r="D7" s="94">
        <v>0</v>
      </c>
      <c r="E7" s="94">
        <f>2*272229</f>
        <v>544458</v>
      </c>
      <c r="F7" s="88">
        <f>SUM(D7:E7)</f>
        <v>544458</v>
      </c>
      <c r="G7" s="94">
        <v>0</v>
      </c>
      <c r="H7" s="88">
        <f>SUM(F7:G7)</f>
        <v>544458</v>
      </c>
      <c r="I7" s="89">
        <f>SUM(H7/'B - Operating Budget'!$D$40)</f>
        <v>2.751089880704299E-3</v>
      </c>
      <c r="J7" s="95">
        <v>50</v>
      </c>
      <c r="K7" s="96" t="s">
        <v>30</v>
      </c>
      <c r="N7" s="90">
        <f>IF($K7="yes",SUM($E7*0.75),0)</f>
        <v>0</v>
      </c>
      <c r="O7" s="91">
        <f>IF($K7="yes",SUM($E7*0.25),0)</f>
        <v>0</v>
      </c>
      <c r="P7" s="91">
        <f>IF($K7="no",SUM($E7*0.5),0)</f>
        <v>272229</v>
      </c>
      <c r="Q7" s="91">
        <f>IF($K7="no",SUM($E7*0.5),0)</f>
        <v>272229</v>
      </c>
      <c r="R7" s="91">
        <f>SUM(N7:Q7)</f>
        <v>544458</v>
      </c>
      <c r="T7" s="91">
        <f>IF($K7="yes",SUM($G7*0.75),0)</f>
        <v>0</v>
      </c>
      <c r="U7" s="91">
        <f>IF($K7="yes",SUM($G7*0.25),0)</f>
        <v>0</v>
      </c>
      <c r="V7" s="91">
        <f>IF($K7="no",SUM($G7*0.5),0)</f>
        <v>0</v>
      </c>
      <c r="W7" s="91">
        <f>IF($K7="no",SUM($G7*0.5),0)</f>
        <v>0</v>
      </c>
      <c r="X7" s="92">
        <f>SUM(T7:W7)</f>
        <v>0</v>
      </c>
    </row>
    <row r="8" spans="1:24" x14ac:dyDescent="0.25">
      <c r="A8" s="97" t="s">
        <v>32</v>
      </c>
      <c r="B8" s="93" t="s">
        <v>30</v>
      </c>
      <c r="C8" s="93" t="s">
        <v>31</v>
      </c>
      <c r="D8" s="94">
        <v>0</v>
      </c>
      <c r="E8" s="94">
        <f>2*250000</f>
        <v>500000</v>
      </c>
      <c r="F8" s="88">
        <f>SUM(D8:E8)</f>
        <v>500000</v>
      </c>
      <c r="G8" s="94">
        <v>74720</v>
      </c>
      <c r="H8" s="88">
        <f t="shared" ref="H8:H103" si="3">SUM(F8:G8)</f>
        <v>574720</v>
      </c>
      <c r="I8" s="89">
        <f>SUM(H8/'B - Operating Budget'!$D$40)</f>
        <v>2.9040006322588238E-3</v>
      </c>
      <c r="J8" s="95">
        <v>90</v>
      </c>
      <c r="K8" s="96" t="s">
        <v>30</v>
      </c>
      <c r="N8" s="90">
        <f t="shared" ref="N8:N103" si="4">IF($K8="yes",SUM($E8*0.75),0)</f>
        <v>0</v>
      </c>
      <c r="O8" s="91">
        <f t="shared" ref="O8:O103" si="5">IF($K8="yes",SUM($E8*0.25),0)</f>
        <v>0</v>
      </c>
      <c r="P8" s="91">
        <f t="shared" ref="P8:Q23" si="6">IF($K8="no",SUM($E8*0.5),0)</f>
        <v>250000</v>
      </c>
      <c r="Q8" s="91">
        <f t="shared" si="6"/>
        <v>250000</v>
      </c>
      <c r="R8" s="91">
        <f t="shared" ref="R8:R19" si="7">SUM(N8:Q8)</f>
        <v>500000</v>
      </c>
      <c r="T8" s="91">
        <f t="shared" ref="T8:T103" si="8">IF($K8="yes",SUM($G8*0.75),0)</f>
        <v>0</v>
      </c>
      <c r="U8" s="91">
        <f t="shared" ref="U8:U103" si="9">IF($K8="yes",SUM($G8*0.25),0)</f>
        <v>0</v>
      </c>
      <c r="V8" s="91">
        <f t="shared" ref="V8:W72" si="10">IF($K8="no",SUM($G8*0.5),0)</f>
        <v>37360</v>
      </c>
      <c r="W8" s="91">
        <f t="shared" si="10"/>
        <v>37360</v>
      </c>
      <c r="X8" s="92">
        <f t="shared" ref="X8:X103" si="11">SUM(T8:W8)</f>
        <v>74720</v>
      </c>
    </row>
    <row r="9" spans="1:24" x14ac:dyDescent="0.25">
      <c r="A9" s="97" t="s">
        <v>33</v>
      </c>
      <c r="B9" s="93" t="s">
        <v>30</v>
      </c>
      <c r="C9" s="93" t="s">
        <v>31</v>
      </c>
      <c r="D9" s="94">
        <v>0</v>
      </c>
      <c r="E9" s="94">
        <f>2*500000</f>
        <v>1000000</v>
      </c>
      <c r="F9" s="88">
        <f t="shared" ref="F9:F103" si="12">SUM(D9:E9)</f>
        <v>1000000</v>
      </c>
      <c r="G9" s="94">
        <v>0</v>
      </c>
      <c r="H9" s="88">
        <f t="shared" si="3"/>
        <v>1000000</v>
      </c>
      <c r="I9" s="89">
        <f>SUM(H9/'B - Operating Budget'!$D$40)</f>
        <v>5.0528964230561382E-3</v>
      </c>
      <c r="J9" s="95">
        <v>410</v>
      </c>
      <c r="K9" s="96" t="s">
        <v>30</v>
      </c>
      <c r="N9" s="90">
        <f t="shared" si="4"/>
        <v>0</v>
      </c>
      <c r="O9" s="91">
        <f t="shared" si="5"/>
        <v>0</v>
      </c>
      <c r="P9" s="91">
        <f t="shared" si="6"/>
        <v>500000</v>
      </c>
      <c r="Q9" s="91">
        <f t="shared" si="6"/>
        <v>500000</v>
      </c>
      <c r="R9" s="91">
        <f t="shared" si="7"/>
        <v>1000000</v>
      </c>
      <c r="T9" s="91">
        <f t="shared" si="8"/>
        <v>0</v>
      </c>
      <c r="U9" s="91">
        <f t="shared" si="9"/>
        <v>0</v>
      </c>
      <c r="V9" s="91">
        <f t="shared" si="10"/>
        <v>0</v>
      </c>
      <c r="W9" s="91">
        <f t="shared" si="10"/>
        <v>0</v>
      </c>
      <c r="X9" s="92">
        <f t="shared" si="11"/>
        <v>0</v>
      </c>
    </row>
    <row r="10" spans="1:24" ht="27.6" x14ac:dyDescent="0.25">
      <c r="A10" s="97" t="s">
        <v>34</v>
      </c>
      <c r="B10" s="93" t="s">
        <v>30</v>
      </c>
      <c r="C10" s="93" t="s">
        <v>31</v>
      </c>
      <c r="D10" s="94">
        <v>0</v>
      </c>
      <c r="E10" s="94">
        <f>2*400000</f>
        <v>800000</v>
      </c>
      <c r="F10" s="88">
        <f t="shared" si="12"/>
        <v>800000</v>
      </c>
      <c r="G10" s="94">
        <v>8000</v>
      </c>
      <c r="H10" s="88">
        <f t="shared" si="3"/>
        <v>808000</v>
      </c>
      <c r="I10" s="89">
        <f>SUM(H10/'B - Operating Budget'!$D$40)</f>
        <v>4.0827403098293597E-3</v>
      </c>
      <c r="J10" s="95">
        <v>80</v>
      </c>
      <c r="K10" s="96" t="s">
        <v>30</v>
      </c>
      <c r="N10" s="90">
        <f t="shared" si="4"/>
        <v>0</v>
      </c>
      <c r="O10" s="91">
        <f t="shared" si="5"/>
        <v>0</v>
      </c>
      <c r="P10" s="91">
        <f t="shared" si="6"/>
        <v>400000</v>
      </c>
      <c r="Q10" s="91">
        <f t="shared" si="6"/>
        <v>400000</v>
      </c>
      <c r="R10" s="91">
        <f t="shared" si="7"/>
        <v>800000</v>
      </c>
      <c r="T10" s="91">
        <f t="shared" si="8"/>
        <v>0</v>
      </c>
      <c r="U10" s="91">
        <f t="shared" si="9"/>
        <v>0</v>
      </c>
      <c r="V10" s="91">
        <f t="shared" si="10"/>
        <v>4000</v>
      </c>
      <c r="W10" s="91">
        <f t="shared" si="10"/>
        <v>4000</v>
      </c>
      <c r="X10" s="92">
        <f t="shared" si="11"/>
        <v>8000</v>
      </c>
    </row>
    <row r="11" spans="1:24" ht="27.6" x14ac:dyDescent="0.25">
      <c r="A11" s="97" t="s">
        <v>35</v>
      </c>
      <c r="B11" s="93" t="s">
        <v>30</v>
      </c>
      <c r="C11" s="93" t="s">
        <v>31</v>
      </c>
      <c r="D11" s="94">
        <v>0</v>
      </c>
      <c r="E11" s="94">
        <f>2*300000</f>
        <v>600000</v>
      </c>
      <c r="F11" s="88">
        <f t="shared" si="12"/>
        <v>600000</v>
      </c>
      <c r="G11" s="94">
        <v>36556</v>
      </c>
      <c r="H11" s="88">
        <f t="shared" si="3"/>
        <v>636556</v>
      </c>
      <c r="I11" s="89">
        <f>SUM(H11/'B - Operating Budget'!$D$40)</f>
        <v>3.216451535474923E-3</v>
      </c>
      <c r="J11" s="95">
        <v>80</v>
      </c>
      <c r="K11" s="96" t="s">
        <v>30</v>
      </c>
      <c r="N11" s="90">
        <f t="shared" si="4"/>
        <v>0</v>
      </c>
      <c r="O11" s="91">
        <f t="shared" si="5"/>
        <v>0</v>
      </c>
      <c r="P11" s="91">
        <f t="shared" si="6"/>
        <v>300000</v>
      </c>
      <c r="Q11" s="91">
        <f t="shared" si="6"/>
        <v>300000</v>
      </c>
      <c r="R11" s="91">
        <f t="shared" si="7"/>
        <v>600000</v>
      </c>
      <c r="T11" s="91">
        <f t="shared" si="8"/>
        <v>0</v>
      </c>
      <c r="U11" s="91">
        <f t="shared" si="9"/>
        <v>0</v>
      </c>
      <c r="V11" s="91">
        <f t="shared" si="10"/>
        <v>18278</v>
      </c>
      <c r="W11" s="91">
        <f t="shared" si="10"/>
        <v>18278</v>
      </c>
      <c r="X11" s="92">
        <f t="shared" si="11"/>
        <v>36556</v>
      </c>
    </row>
    <row r="12" spans="1:24" ht="27.6" x14ac:dyDescent="0.25">
      <c r="A12" s="97" t="s">
        <v>36</v>
      </c>
      <c r="B12" s="93" t="s">
        <v>30</v>
      </c>
      <c r="C12" s="93" t="s">
        <v>31</v>
      </c>
      <c r="D12" s="94">
        <v>0</v>
      </c>
      <c r="E12" s="94">
        <f>2*400000</f>
        <v>800000</v>
      </c>
      <c r="F12" s="88">
        <f t="shared" si="12"/>
        <v>800000</v>
      </c>
      <c r="G12" s="94">
        <v>150000</v>
      </c>
      <c r="H12" s="88">
        <f t="shared" si="3"/>
        <v>950000</v>
      </c>
      <c r="I12" s="89">
        <f>SUM(H12/'B - Operating Budget'!$D$40)</f>
        <v>4.8002516019033312E-3</v>
      </c>
      <c r="J12" s="95">
        <v>245</v>
      </c>
      <c r="K12" s="96" t="s">
        <v>30</v>
      </c>
      <c r="N12" s="90">
        <f t="shared" si="4"/>
        <v>0</v>
      </c>
      <c r="O12" s="91">
        <f t="shared" si="5"/>
        <v>0</v>
      </c>
      <c r="P12" s="91">
        <f t="shared" si="6"/>
        <v>400000</v>
      </c>
      <c r="Q12" s="91">
        <f t="shared" si="6"/>
        <v>400000</v>
      </c>
      <c r="R12" s="91">
        <f t="shared" si="7"/>
        <v>800000</v>
      </c>
      <c r="T12" s="91">
        <f t="shared" si="8"/>
        <v>0</v>
      </c>
      <c r="U12" s="91">
        <f t="shared" si="9"/>
        <v>0</v>
      </c>
      <c r="V12" s="91">
        <f t="shared" si="10"/>
        <v>75000</v>
      </c>
      <c r="W12" s="91">
        <f t="shared" si="10"/>
        <v>75000</v>
      </c>
      <c r="X12" s="92">
        <f t="shared" si="11"/>
        <v>150000</v>
      </c>
    </row>
    <row r="13" spans="1:24" x14ac:dyDescent="0.25">
      <c r="A13" s="97" t="s">
        <v>37</v>
      </c>
      <c r="B13" s="93" t="s">
        <v>30</v>
      </c>
      <c r="C13" s="93" t="s">
        <v>31</v>
      </c>
      <c r="D13" s="94">
        <v>0</v>
      </c>
      <c r="E13" s="94">
        <f>2*203125</f>
        <v>406250</v>
      </c>
      <c r="F13" s="88">
        <f t="shared" si="12"/>
        <v>406250</v>
      </c>
      <c r="G13" s="94">
        <v>0</v>
      </c>
      <c r="H13" s="88">
        <f t="shared" si="3"/>
        <v>406250</v>
      </c>
      <c r="I13" s="89">
        <f>SUM(H13/'B - Operating Budget'!$D$40)</f>
        <v>2.0527391718665562E-3</v>
      </c>
      <c r="J13" s="95">
        <v>120</v>
      </c>
      <c r="K13" s="96" t="s">
        <v>30</v>
      </c>
      <c r="N13" s="90">
        <f t="shared" si="4"/>
        <v>0</v>
      </c>
      <c r="O13" s="91">
        <f t="shared" si="5"/>
        <v>0</v>
      </c>
      <c r="P13" s="91">
        <f t="shared" si="6"/>
        <v>203125</v>
      </c>
      <c r="Q13" s="91">
        <f t="shared" si="6"/>
        <v>203125</v>
      </c>
      <c r="R13" s="91">
        <f t="shared" si="7"/>
        <v>406250</v>
      </c>
      <c r="T13" s="91">
        <f t="shared" si="8"/>
        <v>0</v>
      </c>
      <c r="U13" s="91">
        <f t="shared" si="9"/>
        <v>0</v>
      </c>
      <c r="V13" s="91">
        <f t="shared" si="10"/>
        <v>0</v>
      </c>
      <c r="W13" s="91">
        <f t="shared" si="10"/>
        <v>0</v>
      </c>
      <c r="X13" s="92">
        <f t="shared" si="11"/>
        <v>0</v>
      </c>
    </row>
    <row r="14" spans="1:24" x14ac:dyDescent="0.25">
      <c r="A14" s="97" t="s">
        <v>38</v>
      </c>
      <c r="B14" s="93" t="s">
        <v>30</v>
      </c>
      <c r="C14" s="93" t="s">
        <v>31</v>
      </c>
      <c r="D14" s="94">
        <v>0</v>
      </c>
      <c r="E14" s="94">
        <f>2*187692</f>
        <v>375384</v>
      </c>
      <c r="F14" s="88">
        <f t="shared" si="12"/>
        <v>375384</v>
      </c>
      <c r="G14" s="94">
        <v>49948</v>
      </c>
      <c r="H14" s="88">
        <f t="shared" si="3"/>
        <v>425332</v>
      </c>
      <c r="I14" s="89">
        <f>SUM(H14/'B - Operating Budget'!$D$40)</f>
        <v>2.1491585414113133E-3</v>
      </c>
      <c r="J14" s="95">
        <v>110</v>
      </c>
      <c r="K14" s="96" t="s">
        <v>30</v>
      </c>
      <c r="N14" s="90">
        <f t="shared" si="4"/>
        <v>0</v>
      </c>
      <c r="O14" s="91">
        <f t="shared" si="5"/>
        <v>0</v>
      </c>
      <c r="P14" s="91">
        <f t="shared" si="6"/>
        <v>187692</v>
      </c>
      <c r="Q14" s="91">
        <f t="shared" si="6"/>
        <v>187692</v>
      </c>
      <c r="R14" s="91">
        <f t="shared" si="7"/>
        <v>375384</v>
      </c>
      <c r="T14" s="91">
        <f t="shared" si="8"/>
        <v>0</v>
      </c>
      <c r="U14" s="91">
        <f t="shared" si="9"/>
        <v>0</v>
      </c>
      <c r="V14" s="91">
        <f t="shared" si="10"/>
        <v>24974</v>
      </c>
      <c r="W14" s="91">
        <f t="shared" si="10"/>
        <v>24974</v>
      </c>
      <c r="X14" s="92">
        <f t="shared" si="11"/>
        <v>49948</v>
      </c>
    </row>
    <row r="15" spans="1:24" x14ac:dyDescent="0.25">
      <c r="A15" s="97" t="s">
        <v>39</v>
      </c>
      <c r="B15" s="93" t="s">
        <v>30</v>
      </c>
      <c r="C15" s="93" t="s">
        <v>31</v>
      </c>
      <c r="D15" s="94">
        <v>0</v>
      </c>
      <c r="E15" s="94">
        <f>2*421875</f>
        <v>843750</v>
      </c>
      <c r="F15" s="88">
        <f t="shared" si="12"/>
        <v>843750</v>
      </c>
      <c r="G15" s="94">
        <v>3788</v>
      </c>
      <c r="H15" s="88">
        <f t="shared" si="3"/>
        <v>847538</v>
      </c>
      <c r="I15" s="89">
        <f>SUM(H15/'B - Operating Budget'!$D$40)</f>
        <v>4.2825217286041528E-3</v>
      </c>
      <c r="J15" s="95">
        <v>95</v>
      </c>
      <c r="K15" s="96" t="s">
        <v>30</v>
      </c>
      <c r="N15" s="90">
        <f t="shared" si="4"/>
        <v>0</v>
      </c>
      <c r="O15" s="91">
        <f t="shared" si="5"/>
        <v>0</v>
      </c>
      <c r="P15" s="91">
        <f t="shared" si="6"/>
        <v>421875</v>
      </c>
      <c r="Q15" s="91">
        <f t="shared" si="6"/>
        <v>421875</v>
      </c>
      <c r="R15" s="91">
        <f t="shared" si="7"/>
        <v>843750</v>
      </c>
      <c r="T15" s="91">
        <f t="shared" si="8"/>
        <v>0</v>
      </c>
      <c r="U15" s="91">
        <f t="shared" si="9"/>
        <v>0</v>
      </c>
      <c r="V15" s="91">
        <f t="shared" si="10"/>
        <v>1894</v>
      </c>
      <c r="W15" s="91">
        <f t="shared" si="10"/>
        <v>1894</v>
      </c>
      <c r="X15" s="92">
        <f t="shared" si="11"/>
        <v>3788</v>
      </c>
    </row>
    <row r="16" spans="1:24" x14ac:dyDescent="0.25">
      <c r="A16" s="98" t="s">
        <v>40</v>
      </c>
      <c r="B16" s="99" t="s">
        <v>30</v>
      </c>
      <c r="C16" s="99" t="s">
        <v>31</v>
      </c>
      <c r="D16" s="100">
        <v>0</v>
      </c>
      <c r="E16" s="100">
        <f>2*393750</f>
        <v>787500</v>
      </c>
      <c r="F16" s="88">
        <f t="shared" si="12"/>
        <v>787500</v>
      </c>
      <c r="G16" s="94">
        <v>24650</v>
      </c>
      <c r="H16" s="88">
        <f t="shared" si="3"/>
        <v>812150</v>
      </c>
      <c r="I16" s="89">
        <f>SUM(H16/'B - Operating Budget'!$D$40)</f>
        <v>4.1037098299850422E-3</v>
      </c>
      <c r="J16" s="95">
        <v>120</v>
      </c>
      <c r="K16" s="96" t="s">
        <v>30</v>
      </c>
      <c r="N16" s="90">
        <f t="shared" si="4"/>
        <v>0</v>
      </c>
      <c r="O16" s="91">
        <f t="shared" si="5"/>
        <v>0</v>
      </c>
      <c r="P16" s="91">
        <f t="shared" si="6"/>
        <v>393750</v>
      </c>
      <c r="Q16" s="91">
        <f t="shared" si="6"/>
        <v>393750</v>
      </c>
      <c r="R16" s="91">
        <f t="shared" si="7"/>
        <v>787500</v>
      </c>
      <c r="T16" s="91">
        <f t="shared" si="8"/>
        <v>0</v>
      </c>
      <c r="U16" s="91">
        <f t="shared" si="9"/>
        <v>0</v>
      </c>
      <c r="V16" s="91">
        <f t="shared" si="10"/>
        <v>12325</v>
      </c>
      <c r="W16" s="91">
        <f t="shared" si="10"/>
        <v>12325</v>
      </c>
      <c r="X16" s="92">
        <f t="shared" si="11"/>
        <v>24650</v>
      </c>
    </row>
    <row r="17" spans="1:24" x14ac:dyDescent="0.25">
      <c r="A17" s="97" t="s">
        <v>41</v>
      </c>
      <c r="B17" s="93" t="s">
        <v>30</v>
      </c>
      <c r="C17" s="93" t="s">
        <v>31</v>
      </c>
      <c r="D17" s="94">
        <v>0</v>
      </c>
      <c r="E17" s="94">
        <f>2*238953</f>
        <v>477906</v>
      </c>
      <c r="F17" s="88">
        <f t="shared" si="12"/>
        <v>477906</v>
      </c>
      <c r="G17" s="94">
        <v>40220</v>
      </c>
      <c r="H17" s="88">
        <f t="shared" si="3"/>
        <v>518126</v>
      </c>
      <c r="I17" s="89">
        <f>SUM(H17/'B - Operating Budget'!$D$40)</f>
        <v>2.6180370120923845E-3</v>
      </c>
      <c r="J17" s="95">
        <v>80</v>
      </c>
      <c r="K17" s="96" t="s">
        <v>30</v>
      </c>
      <c r="N17" s="90">
        <f t="shared" si="4"/>
        <v>0</v>
      </c>
      <c r="O17" s="91">
        <f t="shared" si="5"/>
        <v>0</v>
      </c>
      <c r="P17" s="91">
        <f t="shared" si="6"/>
        <v>238953</v>
      </c>
      <c r="Q17" s="91">
        <f t="shared" si="6"/>
        <v>238953</v>
      </c>
      <c r="R17" s="91">
        <f t="shared" si="7"/>
        <v>477906</v>
      </c>
      <c r="T17" s="91">
        <f t="shared" si="8"/>
        <v>0</v>
      </c>
      <c r="U17" s="91">
        <f t="shared" si="9"/>
        <v>0</v>
      </c>
      <c r="V17" s="91">
        <f t="shared" si="10"/>
        <v>20110</v>
      </c>
      <c r="W17" s="91">
        <f t="shared" si="10"/>
        <v>20110</v>
      </c>
      <c r="X17" s="92">
        <f t="shared" si="11"/>
        <v>40220</v>
      </c>
    </row>
    <row r="18" spans="1:24" x14ac:dyDescent="0.25">
      <c r="A18" s="97" t="s">
        <v>42</v>
      </c>
      <c r="B18" s="93" t="s">
        <v>30</v>
      </c>
      <c r="C18" s="93" t="s">
        <v>31</v>
      </c>
      <c r="D18" s="94">
        <v>0</v>
      </c>
      <c r="E18" s="94">
        <f>2*486600</f>
        <v>973200</v>
      </c>
      <c r="F18" s="88">
        <f t="shared" si="12"/>
        <v>973200</v>
      </c>
      <c r="G18" s="94">
        <v>171000</v>
      </c>
      <c r="H18" s="88">
        <f t="shared" si="3"/>
        <v>1144200</v>
      </c>
      <c r="I18" s="89">
        <f>SUM(H18/'B - Operating Budget'!$D$40)</f>
        <v>5.7815240872608328E-3</v>
      </c>
      <c r="J18" s="95">
        <v>240</v>
      </c>
      <c r="K18" s="96" t="s">
        <v>30</v>
      </c>
      <c r="N18" s="90">
        <f t="shared" si="4"/>
        <v>0</v>
      </c>
      <c r="O18" s="91">
        <f t="shared" si="5"/>
        <v>0</v>
      </c>
      <c r="P18" s="91">
        <f t="shared" si="6"/>
        <v>486600</v>
      </c>
      <c r="Q18" s="91">
        <f t="shared" si="6"/>
        <v>486600</v>
      </c>
      <c r="R18" s="91">
        <f t="shared" si="7"/>
        <v>973200</v>
      </c>
      <c r="T18" s="91">
        <f t="shared" si="8"/>
        <v>0</v>
      </c>
      <c r="U18" s="91">
        <f t="shared" si="9"/>
        <v>0</v>
      </c>
      <c r="V18" s="91">
        <f t="shared" si="10"/>
        <v>85500</v>
      </c>
      <c r="W18" s="91">
        <f t="shared" si="10"/>
        <v>85500</v>
      </c>
      <c r="X18" s="92">
        <f t="shared" si="11"/>
        <v>171000</v>
      </c>
    </row>
    <row r="19" spans="1:24" x14ac:dyDescent="0.25">
      <c r="A19" s="97" t="s">
        <v>43</v>
      </c>
      <c r="B19" s="93" t="s">
        <v>30</v>
      </c>
      <c r="C19" s="93" t="s">
        <v>31</v>
      </c>
      <c r="D19" s="94">
        <v>0</v>
      </c>
      <c r="E19" s="94">
        <f>2*121000</f>
        <v>242000</v>
      </c>
      <c r="F19" s="88">
        <f t="shared" si="12"/>
        <v>242000</v>
      </c>
      <c r="G19" s="94">
        <v>0</v>
      </c>
      <c r="H19" s="88">
        <f t="shared" si="3"/>
        <v>242000</v>
      </c>
      <c r="I19" s="89">
        <f>SUM(H19/'B - Operating Budget'!$D$40)</f>
        <v>1.2228009343795854E-3</v>
      </c>
      <c r="J19" s="95">
        <v>57</v>
      </c>
      <c r="K19" s="96" t="s">
        <v>30</v>
      </c>
      <c r="N19" s="90">
        <f t="shared" si="4"/>
        <v>0</v>
      </c>
      <c r="O19" s="91">
        <f t="shared" si="5"/>
        <v>0</v>
      </c>
      <c r="P19" s="91">
        <f t="shared" si="6"/>
        <v>121000</v>
      </c>
      <c r="Q19" s="91">
        <f t="shared" si="6"/>
        <v>121000</v>
      </c>
      <c r="R19" s="91">
        <f t="shared" si="7"/>
        <v>242000</v>
      </c>
      <c r="T19" s="91">
        <f t="shared" si="8"/>
        <v>0</v>
      </c>
      <c r="U19" s="91">
        <f t="shared" si="9"/>
        <v>0</v>
      </c>
      <c r="V19" s="91">
        <f t="shared" si="10"/>
        <v>0</v>
      </c>
      <c r="W19" s="91">
        <f t="shared" si="10"/>
        <v>0</v>
      </c>
      <c r="X19" s="92">
        <f t="shared" si="11"/>
        <v>0</v>
      </c>
    </row>
    <row r="20" spans="1:24" x14ac:dyDescent="0.25">
      <c r="A20" s="97" t="s">
        <v>44</v>
      </c>
      <c r="B20" s="93" t="s">
        <v>30</v>
      </c>
      <c r="C20" s="93" t="s">
        <v>31</v>
      </c>
      <c r="D20" s="94">
        <v>0</v>
      </c>
      <c r="E20" s="94">
        <f>2*178000</f>
        <v>356000</v>
      </c>
      <c r="F20" s="88">
        <f t="shared" si="12"/>
        <v>356000</v>
      </c>
      <c r="G20" s="94">
        <v>0</v>
      </c>
      <c r="H20" s="88">
        <f t="shared" si="3"/>
        <v>356000</v>
      </c>
      <c r="I20" s="89">
        <f>SUM(H20/'B - Operating Budget'!$D$40)</f>
        <v>1.798831126607985E-3</v>
      </c>
      <c r="J20" s="95">
        <v>20</v>
      </c>
      <c r="K20" s="96" t="s">
        <v>30</v>
      </c>
      <c r="N20" s="90">
        <f t="shared" si="4"/>
        <v>0</v>
      </c>
      <c r="O20" s="91">
        <f t="shared" si="5"/>
        <v>0</v>
      </c>
      <c r="P20" s="91">
        <f t="shared" si="6"/>
        <v>178000</v>
      </c>
      <c r="Q20" s="91">
        <f t="shared" si="6"/>
        <v>178000</v>
      </c>
      <c r="R20" s="91">
        <f t="shared" ref="R20:R103" si="13">SUM(N20:Q20)</f>
        <v>356000</v>
      </c>
      <c r="T20" s="91">
        <f t="shared" si="8"/>
        <v>0</v>
      </c>
      <c r="U20" s="91">
        <f t="shared" si="9"/>
        <v>0</v>
      </c>
      <c r="V20" s="91">
        <f t="shared" si="10"/>
        <v>0</v>
      </c>
      <c r="W20" s="91">
        <f t="shared" si="10"/>
        <v>0</v>
      </c>
      <c r="X20" s="92">
        <f t="shared" si="11"/>
        <v>0</v>
      </c>
    </row>
    <row r="21" spans="1:24" x14ac:dyDescent="0.25">
      <c r="A21" s="97" t="s">
        <v>45</v>
      </c>
      <c r="B21" s="93" t="s">
        <v>30</v>
      </c>
      <c r="C21" s="93" t="s">
        <v>31</v>
      </c>
      <c r="D21" s="94">
        <v>0</v>
      </c>
      <c r="E21" s="94">
        <f>2*300000</f>
        <v>600000</v>
      </c>
      <c r="F21" s="88">
        <f t="shared" si="12"/>
        <v>600000</v>
      </c>
      <c r="G21" s="94">
        <v>4500</v>
      </c>
      <c r="H21" s="88">
        <f t="shared" si="3"/>
        <v>604500</v>
      </c>
      <c r="I21" s="89">
        <f>SUM(H21/'B - Operating Budget'!$D$40)</f>
        <v>3.0544758877374353E-3</v>
      </c>
      <c r="J21" s="95">
        <v>75</v>
      </c>
      <c r="K21" s="96" t="s">
        <v>30</v>
      </c>
      <c r="N21" s="90">
        <f t="shared" si="4"/>
        <v>0</v>
      </c>
      <c r="O21" s="91">
        <f t="shared" si="5"/>
        <v>0</v>
      </c>
      <c r="P21" s="91">
        <f t="shared" si="6"/>
        <v>300000</v>
      </c>
      <c r="Q21" s="91">
        <f t="shared" si="6"/>
        <v>300000</v>
      </c>
      <c r="R21" s="91">
        <f t="shared" si="13"/>
        <v>600000</v>
      </c>
      <c r="T21" s="91">
        <f t="shared" si="8"/>
        <v>0</v>
      </c>
      <c r="U21" s="91">
        <f t="shared" si="9"/>
        <v>0</v>
      </c>
      <c r="V21" s="91">
        <f t="shared" si="10"/>
        <v>2250</v>
      </c>
      <c r="W21" s="91">
        <f t="shared" si="10"/>
        <v>2250</v>
      </c>
      <c r="X21" s="92">
        <f t="shared" si="11"/>
        <v>4500</v>
      </c>
    </row>
    <row r="22" spans="1:24" ht="27.6" x14ac:dyDescent="0.25">
      <c r="A22" s="97" t="s">
        <v>46</v>
      </c>
      <c r="B22" s="93" t="s">
        <v>30</v>
      </c>
      <c r="C22" s="93" t="s">
        <v>31</v>
      </c>
      <c r="D22" s="94">
        <v>0</v>
      </c>
      <c r="E22" s="94">
        <f>2*265124</f>
        <v>530248</v>
      </c>
      <c r="F22" s="88">
        <f t="shared" si="12"/>
        <v>530248</v>
      </c>
      <c r="G22" s="94">
        <v>21707</v>
      </c>
      <c r="H22" s="88">
        <f t="shared" si="3"/>
        <v>551955</v>
      </c>
      <c r="I22" s="89">
        <f>SUM(H22/'B - Operating Budget'!$D$40)</f>
        <v>2.7889714451879506E-3</v>
      </c>
      <c r="J22" s="95">
        <v>70</v>
      </c>
      <c r="K22" s="96" t="s">
        <v>30</v>
      </c>
      <c r="N22" s="90">
        <f t="shared" si="4"/>
        <v>0</v>
      </c>
      <c r="O22" s="91">
        <f t="shared" si="5"/>
        <v>0</v>
      </c>
      <c r="P22" s="91">
        <f t="shared" si="6"/>
        <v>265124</v>
      </c>
      <c r="Q22" s="91">
        <f t="shared" si="6"/>
        <v>265124</v>
      </c>
      <c r="R22" s="91">
        <f t="shared" si="13"/>
        <v>530248</v>
      </c>
      <c r="T22" s="91">
        <f t="shared" si="8"/>
        <v>0</v>
      </c>
      <c r="U22" s="91">
        <f t="shared" si="9"/>
        <v>0</v>
      </c>
      <c r="V22" s="91">
        <f t="shared" si="10"/>
        <v>10853.5</v>
      </c>
      <c r="W22" s="91">
        <f t="shared" si="10"/>
        <v>10853.5</v>
      </c>
      <c r="X22" s="92">
        <f t="shared" si="11"/>
        <v>21707</v>
      </c>
    </row>
    <row r="23" spans="1:24" x14ac:dyDescent="0.25">
      <c r="A23" s="97" t="s">
        <v>47</v>
      </c>
      <c r="B23" s="93" t="s">
        <v>30</v>
      </c>
      <c r="C23" s="93" t="s">
        <v>31</v>
      </c>
      <c r="D23" s="94">
        <v>0</v>
      </c>
      <c r="E23" s="94">
        <f>2*300000</f>
        <v>600000</v>
      </c>
      <c r="F23" s="88">
        <f t="shared" si="12"/>
        <v>600000</v>
      </c>
      <c r="G23" s="94">
        <v>50000</v>
      </c>
      <c r="H23" s="88">
        <f t="shared" si="3"/>
        <v>650000</v>
      </c>
      <c r="I23" s="89">
        <f>SUM(H23/'B - Operating Budget'!$D$40)</f>
        <v>3.2843826749864896E-3</v>
      </c>
      <c r="J23" s="95">
        <v>100</v>
      </c>
      <c r="K23" s="96" t="s">
        <v>30</v>
      </c>
      <c r="N23" s="90">
        <f t="shared" si="4"/>
        <v>0</v>
      </c>
      <c r="O23" s="91">
        <f t="shared" si="5"/>
        <v>0</v>
      </c>
      <c r="P23" s="91">
        <f t="shared" si="6"/>
        <v>300000</v>
      </c>
      <c r="Q23" s="91">
        <f t="shared" si="6"/>
        <v>300000</v>
      </c>
      <c r="R23" s="91">
        <f t="shared" si="13"/>
        <v>600000</v>
      </c>
      <c r="T23" s="91">
        <f t="shared" si="8"/>
        <v>0</v>
      </c>
      <c r="U23" s="91">
        <f t="shared" si="9"/>
        <v>0</v>
      </c>
      <c r="V23" s="91">
        <f t="shared" si="10"/>
        <v>25000</v>
      </c>
      <c r="W23" s="91">
        <f t="shared" si="10"/>
        <v>25000</v>
      </c>
      <c r="X23" s="92">
        <f t="shared" si="11"/>
        <v>50000</v>
      </c>
    </row>
    <row r="24" spans="1:24" x14ac:dyDescent="0.25">
      <c r="A24" s="97" t="s">
        <v>48</v>
      </c>
      <c r="B24" s="93" t="s">
        <v>30</v>
      </c>
      <c r="C24" s="93" t="s">
        <v>31</v>
      </c>
      <c r="D24" s="94">
        <v>0</v>
      </c>
      <c r="E24" s="94">
        <f>2*400000</f>
        <v>800000</v>
      </c>
      <c r="F24" s="88">
        <f t="shared" si="12"/>
        <v>800000</v>
      </c>
      <c r="G24" s="94">
        <v>0</v>
      </c>
      <c r="H24" s="88">
        <f t="shared" si="3"/>
        <v>800000</v>
      </c>
      <c r="I24" s="89">
        <f>SUM(H24/'B - Operating Budget'!$D$40)</f>
        <v>4.0423171384449102E-3</v>
      </c>
      <c r="J24" s="95">
        <v>71</v>
      </c>
      <c r="K24" s="96" t="s">
        <v>30</v>
      </c>
      <c r="N24" s="90">
        <f t="shared" si="4"/>
        <v>0</v>
      </c>
      <c r="O24" s="91">
        <f t="shared" si="5"/>
        <v>0</v>
      </c>
      <c r="P24" s="91">
        <f t="shared" ref="P24:Q103" si="14">IF($K24="no",SUM($E24*0.5),0)</f>
        <v>400000</v>
      </c>
      <c r="Q24" s="91">
        <f t="shared" si="14"/>
        <v>400000</v>
      </c>
      <c r="R24" s="91">
        <f t="shared" si="13"/>
        <v>800000</v>
      </c>
      <c r="T24" s="91">
        <f t="shared" si="8"/>
        <v>0</v>
      </c>
      <c r="U24" s="91">
        <f t="shared" si="9"/>
        <v>0</v>
      </c>
      <c r="V24" s="91">
        <f t="shared" si="10"/>
        <v>0</v>
      </c>
      <c r="W24" s="91">
        <f t="shared" si="10"/>
        <v>0</v>
      </c>
      <c r="X24" s="92">
        <f t="shared" si="11"/>
        <v>0</v>
      </c>
    </row>
    <row r="25" spans="1:24" x14ac:dyDescent="0.25">
      <c r="A25" s="97" t="s">
        <v>49</v>
      </c>
      <c r="B25" s="93" t="s">
        <v>30</v>
      </c>
      <c r="C25" s="93" t="s">
        <v>31</v>
      </c>
      <c r="D25" s="94">
        <v>0</v>
      </c>
      <c r="E25" s="94">
        <f>2*500000</f>
        <v>1000000</v>
      </c>
      <c r="F25" s="88">
        <f t="shared" si="12"/>
        <v>1000000</v>
      </c>
      <c r="G25" s="94">
        <v>0</v>
      </c>
      <c r="H25" s="88">
        <f t="shared" si="3"/>
        <v>1000000</v>
      </c>
      <c r="I25" s="89">
        <f>SUM(H25/'B - Operating Budget'!$D$40)</f>
        <v>5.0528964230561382E-3</v>
      </c>
      <c r="J25" s="95">
        <v>217</v>
      </c>
      <c r="K25" s="96" t="s">
        <v>30</v>
      </c>
      <c r="N25" s="90">
        <f t="shared" si="4"/>
        <v>0</v>
      </c>
      <c r="O25" s="91">
        <f t="shared" si="5"/>
        <v>0</v>
      </c>
      <c r="P25" s="91">
        <f t="shared" si="14"/>
        <v>500000</v>
      </c>
      <c r="Q25" s="91">
        <f t="shared" si="14"/>
        <v>500000</v>
      </c>
      <c r="R25" s="91">
        <f t="shared" si="13"/>
        <v>1000000</v>
      </c>
      <c r="T25" s="91">
        <f t="shared" si="8"/>
        <v>0</v>
      </c>
      <c r="U25" s="91">
        <f t="shared" si="9"/>
        <v>0</v>
      </c>
      <c r="V25" s="91">
        <f t="shared" si="10"/>
        <v>0</v>
      </c>
      <c r="W25" s="91">
        <f t="shared" si="10"/>
        <v>0</v>
      </c>
      <c r="X25" s="92">
        <f t="shared" si="11"/>
        <v>0</v>
      </c>
    </row>
    <row r="26" spans="1:24" x14ac:dyDescent="0.25">
      <c r="A26" s="97" t="s">
        <v>50</v>
      </c>
      <c r="B26" s="93" t="s">
        <v>30</v>
      </c>
      <c r="C26" s="93" t="s">
        <v>31</v>
      </c>
      <c r="D26" s="94">
        <v>0</v>
      </c>
      <c r="E26" s="94">
        <f>2*250500</f>
        <v>501000</v>
      </c>
      <c r="F26" s="88">
        <f t="shared" si="12"/>
        <v>501000</v>
      </c>
      <c r="G26" s="94">
        <v>20400</v>
      </c>
      <c r="H26" s="88">
        <f t="shared" si="3"/>
        <v>521400</v>
      </c>
      <c r="I26" s="89">
        <f>SUM(H26/'B - Operating Budget'!$D$40)</f>
        <v>2.6345801949814703E-3</v>
      </c>
      <c r="J26" s="95">
        <v>155</v>
      </c>
      <c r="K26" s="96" t="s">
        <v>30</v>
      </c>
      <c r="N26" s="90">
        <f t="shared" si="4"/>
        <v>0</v>
      </c>
      <c r="O26" s="91">
        <f t="shared" si="5"/>
        <v>0</v>
      </c>
      <c r="P26" s="91">
        <f t="shared" si="14"/>
        <v>250500</v>
      </c>
      <c r="Q26" s="91">
        <f t="shared" si="14"/>
        <v>250500</v>
      </c>
      <c r="R26" s="91">
        <f t="shared" si="13"/>
        <v>501000</v>
      </c>
      <c r="T26" s="91">
        <f t="shared" si="8"/>
        <v>0</v>
      </c>
      <c r="U26" s="91">
        <f t="shared" si="9"/>
        <v>0</v>
      </c>
      <c r="V26" s="91">
        <f t="shared" si="10"/>
        <v>10200</v>
      </c>
      <c r="W26" s="91">
        <f t="shared" si="10"/>
        <v>10200</v>
      </c>
      <c r="X26" s="92">
        <f t="shared" si="11"/>
        <v>20400</v>
      </c>
    </row>
    <row r="27" spans="1:24" x14ac:dyDescent="0.25">
      <c r="A27" s="97" t="s">
        <v>51</v>
      </c>
      <c r="B27" s="93" t="s">
        <v>30</v>
      </c>
      <c r="C27" s="93" t="s">
        <v>31</v>
      </c>
      <c r="D27" s="94">
        <v>0</v>
      </c>
      <c r="E27" s="94">
        <f>2*197500</f>
        <v>395000</v>
      </c>
      <c r="F27" s="88">
        <f t="shared" ref="F27:F28" si="15">SUM(D27:E27)</f>
        <v>395000</v>
      </c>
      <c r="G27" s="94">
        <v>90000</v>
      </c>
      <c r="H27" s="88">
        <f t="shared" ref="H27:H28" si="16">SUM(F27:G27)</f>
        <v>485000</v>
      </c>
      <c r="I27" s="89">
        <f>SUM(H27/'B - Operating Budget'!$D$40)</f>
        <v>2.4506547651822271E-3</v>
      </c>
      <c r="J27" s="95">
        <v>120</v>
      </c>
      <c r="K27" s="96" t="s">
        <v>30</v>
      </c>
      <c r="N27" s="90">
        <f t="shared" si="4"/>
        <v>0</v>
      </c>
      <c r="O27" s="91">
        <f t="shared" si="5"/>
        <v>0</v>
      </c>
      <c r="P27" s="91">
        <f t="shared" si="14"/>
        <v>197500</v>
      </c>
      <c r="Q27" s="91">
        <f t="shared" si="14"/>
        <v>197500</v>
      </c>
      <c r="R27" s="91">
        <f t="shared" ref="R27:R57" si="17">SUM(N27:Q27)</f>
        <v>395000</v>
      </c>
      <c r="T27" s="91">
        <f t="shared" si="8"/>
        <v>0</v>
      </c>
      <c r="U27" s="91">
        <f t="shared" si="9"/>
        <v>0</v>
      </c>
      <c r="V27" s="91">
        <f t="shared" si="10"/>
        <v>45000</v>
      </c>
      <c r="W27" s="91">
        <f t="shared" si="10"/>
        <v>45000</v>
      </c>
      <c r="X27" s="92">
        <f t="shared" ref="X27:X57" si="18">SUM(T27:W27)</f>
        <v>90000</v>
      </c>
    </row>
    <row r="28" spans="1:24" ht="27.6" x14ac:dyDescent="0.25">
      <c r="A28" s="97" t="s">
        <v>52</v>
      </c>
      <c r="B28" s="93" t="s">
        <v>30</v>
      </c>
      <c r="C28" s="93" t="s">
        <v>31</v>
      </c>
      <c r="D28" s="94">
        <v>0</v>
      </c>
      <c r="E28" s="94">
        <f>2*125000</f>
        <v>250000</v>
      </c>
      <c r="F28" s="88">
        <f t="shared" si="15"/>
        <v>250000</v>
      </c>
      <c r="G28" s="94">
        <v>9000</v>
      </c>
      <c r="H28" s="88">
        <f t="shared" si="16"/>
        <v>259000</v>
      </c>
      <c r="I28" s="89">
        <f>SUM(H28/'B - Operating Budget'!$D$40)</f>
        <v>1.3087001735715398E-3</v>
      </c>
      <c r="J28" s="95">
        <v>60</v>
      </c>
      <c r="K28" s="96" t="s">
        <v>30</v>
      </c>
      <c r="N28" s="90">
        <f t="shared" si="4"/>
        <v>0</v>
      </c>
      <c r="O28" s="91">
        <f t="shared" si="5"/>
        <v>0</v>
      </c>
      <c r="P28" s="91">
        <f t="shared" si="14"/>
        <v>125000</v>
      </c>
      <c r="Q28" s="91">
        <f t="shared" si="14"/>
        <v>125000</v>
      </c>
      <c r="R28" s="91">
        <f t="shared" si="17"/>
        <v>250000</v>
      </c>
      <c r="T28" s="91">
        <f t="shared" si="8"/>
        <v>0</v>
      </c>
      <c r="U28" s="91">
        <f t="shared" si="9"/>
        <v>0</v>
      </c>
      <c r="V28" s="91">
        <f t="shared" si="10"/>
        <v>4500</v>
      </c>
      <c r="W28" s="91">
        <f t="shared" si="10"/>
        <v>4500</v>
      </c>
      <c r="X28" s="92">
        <f t="shared" si="18"/>
        <v>9000</v>
      </c>
    </row>
    <row r="29" spans="1:24" x14ac:dyDescent="0.25">
      <c r="A29" s="97" t="s">
        <v>53</v>
      </c>
      <c r="B29" s="93" t="s">
        <v>30</v>
      </c>
      <c r="C29" s="93" t="s">
        <v>31</v>
      </c>
      <c r="D29" s="94">
        <v>0</v>
      </c>
      <c r="E29" s="94">
        <f>2*300000</f>
        <v>600000</v>
      </c>
      <c r="F29" s="88">
        <f t="shared" ref="F29:F57" si="19">SUM(D29:E29)</f>
        <v>600000</v>
      </c>
      <c r="G29" s="94">
        <v>10000</v>
      </c>
      <c r="H29" s="88">
        <f t="shared" ref="H29:H57" si="20">SUM(F29:G29)</f>
        <v>610000</v>
      </c>
      <c r="I29" s="89">
        <f>SUM(H29/'B - Operating Budget'!$D$40)</f>
        <v>3.0822668180642441E-3</v>
      </c>
      <c r="J29" s="95">
        <v>84</v>
      </c>
      <c r="K29" s="96" t="s">
        <v>30</v>
      </c>
      <c r="N29" s="90">
        <f t="shared" si="4"/>
        <v>0</v>
      </c>
      <c r="O29" s="91">
        <f t="shared" si="5"/>
        <v>0</v>
      </c>
      <c r="P29" s="91">
        <f t="shared" si="14"/>
        <v>300000</v>
      </c>
      <c r="Q29" s="91">
        <f t="shared" si="14"/>
        <v>300000</v>
      </c>
      <c r="R29" s="91">
        <f t="shared" si="17"/>
        <v>600000</v>
      </c>
      <c r="T29" s="91">
        <f t="shared" si="8"/>
        <v>0</v>
      </c>
      <c r="U29" s="91">
        <f t="shared" si="9"/>
        <v>0</v>
      </c>
      <c r="V29" s="91">
        <f t="shared" si="10"/>
        <v>5000</v>
      </c>
      <c r="W29" s="91">
        <f t="shared" si="10"/>
        <v>5000</v>
      </c>
      <c r="X29" s="92">
        <f t="shared" si="18"/>
        <v>10000</v>
      </c>
    </row>
    <row r="30" spans="1:24" x14ac:dyDescent="0.25">
      <c r="A30" s="97" t="s">
        <v>54</v>
      </c>
      <c r="B30" s="93" t="s">
        <v>30</v>
      </c>
      <c r="C30" s="93" t="s">
        <v>31</v>
      </c>
      <c r="D30" s="94">
        <v>0</v>
      </c>
      <c r="E30" s="94">
        <f>2*451649</f>
        <v>903298</v>
      </c>
      <c r="F30" s="88">
        <f t="shared" si="19"/>
        <v>903298</v>
      </c>
      <c r="G30" s="94">
        <v>121658</v>
      </c>
      <c r="H30" s="88">
        <f t="shared" si="20"/>
        <v>1024956</v>
      </c>
      <c r="I30" s="89">
        <f>SUM(H30/'B - Operating Budget'!$D$40)</f>
        <v>5.1789965061899267E-3</v>
      </c>
      <c r="J30" s="95">
        <v>80</v>
      </c>
      <c r="K30" s="96" t="s">
        <v>30</v>
      </c>
      <c r="N30" s="90">
        <f t="shared" si="4"/>
        <v>0</v>
      </c>
      <c r="O30" s="91">
        <f t="shared" si="5"/>
        <v>0</v>
      </c>
      <c r="P30" s="91">
        <f t="shared" si="14"/>
        <v>451649</v>
      </c>
      <c r="Q30" s="91">
        <f t="shared" si="14"/>
        <v>451649</v>
      </c>
      <c r="R30" s="91">
        <f t="shared" si="17"/>
        <v>903298</v>
      </c>
      <c r="T30" s="91">
        <f t="shared" si="8"/>
        <v>0</v>
      </c>
      <c r="U30" s="91">
        <f t="shared" si="9"/>
        <v>0</v>
      </c>
      <c r="V30" s="91">
        <f t="shared" si="10"/>
        <v>60829</v>
      </c>
      <c r="W30" s="91">
        <f t="shared" si="10"/>
        <v>60829</v>
      </c>
      <c r="X30" s="92">
        <f t="shared" si="18"/>
        <v>121658</v>
      </c>
    </row>
    <row r="31" spans="1:24" x14ac:dyDescent="0.25">
      <c r="A31" s="97" t="s">
        <v>55</v>
      </c>
      <c r="B31" s="93" t="s">
        <v>30</v>
      </c>
      <c r="C31" s="93" t="s">
        <v>31</v>
      </c>
      <c r="D31" s="94">
        <v>0</v>
      </c>
      <c r="E31" s="94">
        <f>2*500000</f>
        <v>1000000</v>
      </c>
      <c r="F31" s="88">
        <f t="shared" si="19"/>
        <v>1000000</v>
      </c>
      <c r="G31" s="94">
        <v>180000</v>
      </c>
      <c r="H31" s="88">
        <f t="shared" si="20"/>
        <v>1180000</v>
      </c>
      <c r="I31" s="89">
        <f>SUM(H31/'B - Operating Budget'!$D$40)</f>
        <v>5.9624177792062432E-3</v>
      </c>
      <c r="J31" s="95">
        <v>275</v>
      </c>
      <c r="K31" s="96" t="s">
        <v>30</v>
      </c>
      <c r="N31" s="90">
        <f t="shared" si="4"/>
        <v>0</v>
      </c>
      <c r="O31" s="91">
        <f t="shared" si="5"/>
        <v>0</v>
      </c>
      <c r="P31" s="91">
        <f t="shared" si="14"/>
        <v>500000</v>
      </c>
      <c r="Q31" s="91">
        <f t="shared" si="14"/>
        <v>500000</v>
      </c>
      <c r="R31" s="91">
        <f t="shared" si="17"/>
        <v>1000000</v>
      </c>
      <c r="T31" s="91">
        <f t="shared" si="8"/>
        <v>0</v>
      </c>
      <c r="U31" s="91">
        <f t="shared" si="9"/>
        <v>0</v>
      </c>
      <c r="V31" s="91">
        <f t="shared" si="10"/>
        <v>90000</v>
      </c>
      <c r="W31" s="91">
        <f t="shared" si="10"/>
        <v>90000</v>
      </c>
      <c r="X31" s="92">
        <f t="shared" si="18"/>
        <v>180000</v>
      </c>
    </row>
    <row r="32" spans="1:24" x14ac:dyDescent="0.25">
      <c r="A32" s="97" t="s">
        <v>56</v>
      </c>
      <c r="B32" s="93" t="s">
        <v>30</v>
      </c>
      <c r="C32" s="93" t="s">
        <v>31</v>
      </c>
      <c r="D32" s="94">
        <v>0</v>
      </c>
      <c r="E32" s="94">
        <f>2*499000</f>
        <v>998000</v>
      </c>
      <c r="F32" s="88">
        <f t="shared" si="19"/>
        <v>998000</v>
      </c>
      <c r="G32" s="94">
        <v>5736.5</v>
      </c>
      <c r="H32" s="88">
        <f t="shared" si="20"/>
        <v>1003736.5</v>
      </c>
      <c r="I32" s="89">
        <f>SUM(H32/'B - Operating Budget'!$D$40)</f>
        <v>5.0717765705408872E-3</v>
      </c>
      <c r="J32" s="95">
        <v>55</v>
      </c>
      <c r="K32" s="96" t="s">
        <v>30</v>
      </c>
      <c r="N32" s="90">
        <f t="shared" si="4"/>
        <v>0</v>
      </c>
      <c r="O32" s="91">
        <f t="shared" si="5"/>
        <v>0</v>
      </c>
      <c r="P32" s="91">
        <f t="shared" si="14"/>
        <v>499000</v>
      </c>
      <c r="Q32" s="91">
        <f t="shared" si="14"/>
        <v>499000</v>
      </c>
      <c r="R32" s="91">
        <f t="shared" si="17"/>
        <v>998000</v>
      </c>
      <c r="T32" s="91">
        <f t="shared" si="8"/>
        <v>0</v>
      </c>
      <c r="U32" s="91">
        <f t="shared" si="9"/>
        <v>0</v>
      </c>
      <c r="V32" s="91">
        <f t="shared" si="10"/>
        <v>2868.25</v>
      </c>
      <c r="W32" s="91">
        <f t="shared" si="10"/>
        <v>2868.25</v>
      </c>
      <c r="X32" s="92">
        <f t="shared" si="18"/>
        <v>5736.5</v>
      </c>
    </row>
    <row r="33" spans="1:24" ht="27.6" x14ac:dyDescent="0.25">
      <c r="A33" s="97" t="s">
        <v>57</v>
      </c>
      <c r="B33" s="93" t="s">
        <v>30</v>
      </c>
      <c r="C33" s="93" t="s">
        <v>31</v>
      </c>
      <c r="D33" s="94">
        <v>0</v>
      </c>
      <c r="E33" s="94">
        <f>2*150000</f>
        <v>300000</v>
      </c>
      <c r="F33" s="88">
        <f t="shared" si="19"/>
        <v>300000</v>
      </c>
      <c r="G33" s="94">
        <v>25950</v>
      </c>
      <c r="H33" s="88">
        <f t="shared" si="20"/>
        <v>325950</v>
      </c>
      <c r="I33" s="89">
        <f>SUM(H33/'B - Operating Budget'!$D$40)</f>
        <v>1.6469915890951481E-3</v>
      </c>
      <c r="J33" s="95">
        <v>100</v>
      </c>
      <c r="K33" s="96" t="s">
        <v>30</v>
      </c>
      <c r="N33" s="90">
        <f t="shared" si="4"/>
        <v>0</v>
      </c>
      <c r="O33" s="91">
        <f t="shared" si="5"/>
        <v>0</v>
      </c>
      <c r="P33" s="91">
        <f t="shared" si="14"/>
        <v>150000</v>
      </c>
      <c r="Q33" s="91">
        <f t="shared" si="14"/>
        <v>150000</v>
      </c>
      <c r="R33" s="91">
        <f t="shared" si="17"/>
        <v>300000</v>
      </c>
      <c r="T33" s="91">
        <f t="shared" si="8"/>
        <v>0</v>
      </c>
      <c r="U33" s="91">
        <f t="shared" si="9"/>
        <v>0</v>
      </c>
      <c r="V33" s="91">
        <f t="shared" si="10"/>
        <v>12975</v>
      </c>
      <c r="W33" s="91">
        <f t="shared" si="10"/>
        <v>12975</v>
      </c>
      <c r="X33" s="92">
        <f t="shared" si="18"/>
        <v>25950</v>
      </c>
    </row>
    <row r="34" spans="1:24" ht="27.6" x14ac:dyDescent="0.25">
      <c r="A34" s="97" t="s">
        <v>58</v>
      </c>
      <c r="B34" s="93" t="s">
        <v>30</v>
      </c>
      <c r="C34" s="93" t="s">
        <v>31</v>
      </c>
      <c r="D34" s="94">
        <v>0</v>
      </c>
      <c r="E34" s="94">
        <f>2*212500</f>
        <v>425000</v>
      </c>
      <c r="F34" s="88">
        <f t="shared" si="19"/>
        <v>425000</v>
      </c>
      <c r="G34" s="94">
        <v>26266</v>
      </c>
      <c r="H34" s="88">
        <f t="shared" si="20"/>
        <v>451266</v>
      </c>
      <c r="I34" s="89">
        <f>SUM(H34/'B - Operating Budget'!$D$40)</f>
        <v>2.280200357246851E-3</v>
      </c>
      <c r="J34" s="95">
        <v>305</v>
      </c>
      <c r="K34" s="96" t="s">
        <v>30</v>
      </c>
      <c r="N34" s="90">
        <f t="shared" si="4"/>
        <v>0</v>
      </c>
      <c r="O34" s="91">
        <f t="shared" si="5"/>
        <v>0</v>
      </c>
      <c r="P34" s="91">
        <f t="shared" si="14"/>
        <v>212500</v>
      </c>
      <c r="Q34" s="91">
        <f t="shared" si="14"/>
        <v>212500</v>
      </c>
      <c r="R34" s="91">
        <f t="shared" si="17"/>
        <v>425000</v>
      </c>
      <c r="T34" s="91">
        <f t="shared" si="8"/>
        <v>0</v>
      </c>
      <c r="U34" s="91">
        <f t="shared" si="9"/>
        <v>0</v>
      </c>
      <c r="V34" s="91">
        <f t="shared" si="10"/>
        <v>13133</v>
      </c>
      <c r="W34" s="91">
        <f t="shared" si="10"/>
        <v>13133</v>
      </c>
      <c r="X34" s="92">
        <f t="shared" si="18"/>
        <v>26266</v>
      </c>
    </row>
    <row r="35" spans="1:24" ht="27.6" x14ac:dyDescent="0.25">
      <c r="A35" s="97" t="s">
        <v>29</v>
      </c>
      <c r="B35" s="93" t="s">
        <v>30</v>
      </c>
      <c r="C35" s="93" t="s">
        <v>31</v>
      </c>
      <c r="D35" s="94">
        <v>0</v>
      </c>
      <c r="E35" s="94">
        <f>2*28000</f>
        <v>56000</v>
      </c>
      <c r="F35" s="88">
        <f t="shared" si="19"/>
        <v>56000</v>
      </c>
      <c r="G35" s="94">
        <v>0</v>
      </c>
      <c r="H35" s="88">
        <f t="shared" si="20"/>
        <v>56000</v>
      </c>
      <c r="I35" s="89">
        <f>SUM(H35/'B - Operating Budget'!$D$40)</f>
        <v>2.8296219969114371E-4</v>
      </c>
      <c r="J35" s="95">
        <v>26</v>
      </c>
      <c r="K35" s="96" t="s">
        <v>30</v>
      </c>
      <c r="N35" s="90">
        <f t="shared" si="4"/>
        <v>0</v>
      </c>
      <c r="O35" s="91">
        <f t="shared" si="5"/>
        <v>0</v>
      </c>
      <c r="P35" s="91">
        <f t="shared" si="14"/>
        <v>28000</v>
      </c>
      <c r="Q35" s="91">
        <f t="shared" si="14"/>
        <v>28000</v>
      </c>
      <c r="R35" s="91">
        <f t="shared" si="17"/>
        <v>56000</v>
      </c>
      <c r="T35" s="91">
        <f t="shared" si="8"/>
        <v>0</v>
      </c>
      <c r="U35" s="91">
        <f t="shared" si="9"/>
        <v>0</v>
      </c>
      <c r="V35" s="91">
        <f t="shared" si="10"/>
        <v>0</v>
      </c>
      <c r="W35" s="91">
        <f t="shared" si="10"/>
        <v>0</v>
      </c>
      <c r="X35" s="92">
        <f t="shared" si="18"/>
        <v>0</v>
      </c>
    </row>
    <row r="36" spans="1:24" ht="27.6" x14ac:dyDescent="0.25">
      <c r="A36" s="97" t="s">
        <v>59</v>
      </c>
      <c r="B36" s="93" t="s">
        <v>30</v>
      </c>
      <c r="C36" s="93" t="s">
        <v>31</v>
      </c>
      <c r="D36" s="94">
        <v>0</v>
      </c>
      <c r="E36" s="94">
        <f>2*28000</f>
        <v>56000</v>
      </c>
      <c r="F36" s="88">
        <f t="shared" si="19"/>
        <v>56000</v>
      </c>
      <c r="G36" s="94">
        <v>0</v>
      </c>
      <c r="H36" s="88">
        <f t="shared" si="20"/>
        <v>56000</v>
      </c>
      <c r="I36" s="89">
        <f>SUM(H36/'B - Operating Budget'!$D$40)</f>
        <v>2.8296219969114371E-4</v>
      </c>
      <c r="J36" s="95">
        <v>15</v>
      </c>
      <c r="K36" s="96" t="s">
        <v>30</v>
      </c>
      <c r="N36" s="90">
        <f t="shared" si="4"/>
        <v>0</v>
      </c>
      <c r="O36" s="91">
        <f t="shared" si="5"/>
        <v>0</v>
      </c>
      <c r="P36" s="91">
        <f t="shared" si="14"/>
        <v>28000</v>
      </c>
      <c r="Q36" s="91">
        <f t="shared" si="14"/>
        <v>28000</v>
      </c>
      <c r="R36" s="91">
        <f t="shared" si="17"/>
        <v>56000</v>
      </c>
      <c r="T36" s="91">
        <f t="shared" si="8"/>
        <v>0</v>
      </c>
      <c r="U36" s="91">
        <f t="shared" si="9"/>
        <v>0</v>
      </c>
      <c r="V36" s="91">
        <f t="shared" si="10"/>
        <v>0</v>
      </c>
      <c r="W36" s="91">
        <f t="shared" si="10"/>
        <v>0</v>
      </c>
      <c r="X36" s="92">
        <f t="shared" si="18"/>
        <v>0</v>
      </c>
    </row>
    <row r="37" spans="1:24" ht="27.6" x14ac:dyDescent="0.25">
      <c r="A37" s="97" t="s">
        <v>60</v>
      </c>
      <c r="B37" s="93" t="s">
        <v>30</v>
      </c>
      <c r="C37" s="93" t="s">
        <v>31</v>
      </c>
      <c r="D37" s="94">
        <v>0</v>
      </c>
      <c r="E37" s="94">
        <f>2*28000</f>
        <v>56000</v>
      </c>
      <c r="F37" s="88">
        <f t="shared" si="19"/>
        <v>56000</v>
      </c>
      <c r="G37" s="94">
        <v>0</v>
      </c>
      <c r="H37" s="88">
        <f t="shared" si="20"/>
        <v>56000</v>
      </c>
      <c r="I37" s="89">
        <f>SUM(H37/'B - Operating Budget'!$D$40)</f>
        <v>2.8296219969114371E-4</v>
      </c>
      <c r="J37" s="95">
        <v>21</v>
      </c>
      <c r="K37" s="96" t="s">
        <v>30</v>
      </c>
      <c r="N37" s="90">
        <f t="shared" si="4"/>
        <v>0</v>
      </c>
      <c r="O37" s="91">
        <f t="shared" si="5"/>
        <v>0</v>
      </c>
      <c r="P37" s="91">
        <f t="shared" si="14"/>
        <v>28000</v>
      </c>
      <c r="Q37" s="91">
        <f t="shared" si="14"/>
        <v>28000</v>
      </c>
      <c r="R37" s="91">
        <f t="shared" si="17"/>
        <v>56000</v>
      </c>
      <c r="T37" s="91">
        <f t="shared" si="8"/>
        <v>0</v>
      </c>
      <c r="U37" s="91">
        <f t="shared" si="9"/>
        <v>0</v>
      </c>
      <c r="V37" s="91">
        <f t="shared" si="10"/>
        <v>0</v>
      </c>
      <c r="W37" s="91">
        <f t="shared" si="10"/>
        <v>0</v>
      </c>
      <c r="X37" s="92">
        <f t="shared" si="18"/>
        <v>0</v>
      </c>
    </row>
    <row r="38" spans="1:24" ht="27.6" x14ac:dyDescent="0.25">
      <c r="A38" s="97" t="s">
        <v>61</v>
      </c>
      <c r="B38" s="93" t="s">
        <v>30</v>
      </c>
      <c r="C38" s="93" t="s">
        <v>31</v>
      </c>
      <c r="D38" s="94">
        <v>0</v>
      </c>
      <c r="E38" s="94">
        <f>2*56000</f>
        <v>112000</v>
      </c>
      <c r="F38" s="88">
        <f t="shared" si="19"/>
        <v>112000</v>
      </c>
      <c r="G38" s="94">
        <v>0</v>
      </c>
      <c r="H38" s="88">
        <f t="shared" si="20"/>
        <v>112000</v>
      </c>
      <c r="I38" s="89">
        <f>SUM(H38/'B - Operating Budget'!$D$40)</f>
        <v>5.6592439938228743E-4</v>
      </c>
      <c r="J38" s="95">
        <v>55</v>
      </c>
      <c r="K38" s="96" t="s">
        <v>30</v>
      </c>
      <c r="N38" s="90">
        <f t="shared" si="4"/>
        <v>0</v>
      </c>
      <c r="O38" s="91">
        <f t="shared" si="5"/>
        <v>0</v>
      </c>
      <c r="P38" s="91">
        <f t="shared" si="14"/>
        <v>56000</v>
      </c>
      <c r="Q38" s="91">
        <f t="shared" si="14"/>
        <v>56000</v>
      </c>
      <c r="R38" s="91">
        <f t="shared" si="17"/>
        <v>112000</v>
      </c>
      <c r="T38" s="91">
        <f t="shared" si="8"/>
        <v>0</v>
      </c>
      <c r="U38" s="91">
        <f t="shared" si="9"/>
        <v>0</v>
      </c>
      <c r="V38" s="91">
        <f t="shared" si="10"/>
        <v>0</v>
      </c>
      <c r="W38" s="91">
        <f t="shared" si="10"/>
        <v>0</v>
      </c>
      <c r="X38" s="92">
        <f t="shared" si="18"/>
        <v>0</v>
      </c>
    </row>
    <row r="39" spans="1:24" ht="41.4" x14ac:dyDescent="0.25">
      <c r="A39" s="97" t="s">
        <v>62</v>
      </c>
      <c r="B39" s="93" t="s">
        <v>30</v>
      </c>
      <c r="C39" s="93" t="s">
        <v>31</v>
      </c>
      <c r="D39" s="94">
        <v>0</v>
      </c>
      <c r="E39" s="94">
        <f>2*56000</f>
        <v>112000</v>
      </c>
      <c r="F39" s="88">
        <f t="shared" si="19"/>
        <v>112000</v>
      </c>
      <c r="G39" s="94">
        <v>0</v>
      </c>
      <c r="H39" s="88">
        <f t="shared" si="20"/>
        <v>112000</v>
      </c>
      <c r="I39" s="89">
        <f>SUM(H39/'B - Operating Budget'!$D$40)</f>
        <v>5.6592439938228743E-4</v>
      </c>
      <c r="J39" s="95">
        <v>55</v>
      </c>
      <c r="K39" s="96" t="s">
        <v>30</v>
      </c>
      <c r="N39" s="90">
        <f t="shared" si="4"/>
        <v>0</v>
      </c>
      <c r="O39" s="91">
        <f t="shared" si="5"/>
        <v>0</v>
      </c>
      <c r="P39" s="91">
        <f t="shared" si="14"/>
        <v>56000</v>
      </c>
      <c r="Q39" s="91">
        <f t="shared" si="14"/>
        <v>56000</v>
      </c>
      <c r="R39" s="91">
        <f t="shared" si="17"/>
        <v>112000</v>
      </c>
      <c r="T39" s="91">
        <f t="shared" si="8"/>
        <v>0</v>
      </c>
      <c r="U39" s="91">
        <f t="shared" si="9"/>
        <v>0</v>
      </c>
      <c r="V39" s="91">
        <f t="shared" si="10"/>
        <v>0</v>
      </c>
      <c r="W39" s="91">
        <f t="shared" si="10"/>
        <v>0</v>
      </c>
      <c r="X39" s="92">
        <f t="shared" si="18"/>
        <v>0</v>
      </c>
    </row>
    <row r="40" spans="1:24" x14ac:dyDescent="0.25">
      <c r="A40" s="97" t="s">
        <v>63</v>
      </c>
      <c r="B40" s="93" t="s">
        <v>30</v>
      </c>
      <c r="C40" s="93" t="s">
        <v>31</v>
      </c>
      <c r="D40" s="94">
        <v>0</v>
      </c>
      <c r="E40" s="94">
        <f>2*28000</f>
        <v>56000</v>
      </c>
      <c r="F40" s="88">
        <f t="shared" si="19"/>
        <v>56000</v>
      </c>
      <c r="G40" s="94">
        <v>0</v>
      </c>
      <c r="H40" s="88">
        <f t="shared" si="20"/>
        <v>56000</v>
      </c>
      <c r="I40" s="89">
        <f>SUM(H40/'B - Operating Budget'!$D$40)</f>
        <v>2.8296219969114371E-4</v>
      </c>
      <c r="J40" s="95"/>
      <c r="K40" s="96" t="s">
        <v>30</v>
      </c>
      <c r="N40" s="90">
        <f t="shared" si="4"/>
        <v>0</v>
      </c>
      <c r="O40" s="91">
        <f t="shared" si="5"/>
        <v>0</v>
      </c>
      <c r="P40" s="91">
        <f t="shared" si="14"/>
        <v>28000</v>
      </c>
      <c r="Q40" s="91">
        <f t="shared" si="14"/>
        <v>28000</v>
      </c>
      <c r="R40" s="91">
        <f t="shared" si="17"/>
        <v>56000</v>
      </c>
      <c r="T40" s="91">
        <f t="shared" si="8"/>
        <v>0</v>
      </c>
      <c r="U40" s="91">
        <f t="shared" si="9"/>
        <v>0</v>
      </c>
      <c r="V40" s="91">
        <f t="shared" si="10"/>
        <v>0</v>
      </c>
      <c r="W40" s="91">
        <f t="shared" si="10"/>
        <v>0</v>
      </c>
      <c r="X40" s="92">
        <f t="shared" si="18"/>
        <v>0</v>
      </c>
    </row>
    <row r="41" spans="1:24" ht="27.6" x14ac:dyDescent="0.25">
      <c r="A41" s="97" t="s">
        <v>64</v>
      </c>
      <c r="B41" s="93" t="s">
        <v>30</v>
      </c>
      <c r="C41" s="93" t="s">
        <v>31</v>
      </c>
      <c r="D41" s="94">
        <v>0</v>
      </c>
      <c r="E41" s="94">
        <f>2*28000</f>
        <v>56000</v>
      </c>
      <c r="F41" s="88">
        <f t="shared" si="19"/>
        <v>56000</v>
      </c>
      <c r="G41" s="94">
        <v>0</v>
      </c>
      <c r="H41" s="88">
        <f t="shared" si="20"/>
        <v>56000</v>
      </c>
      <c r="I41" s="89">
        <f>SUM(H41/'B - Operating Budget'!$D$40)</f>
        <v>2.8296219969114371E-4</v>
      </c>
      <c r="J41" s="95">
        <v>18</v>
      </c>
      <c r="K41" s="96" t="s">
        <v>30</v>
      </c>
      <c r="N41" s="90">
        <f t="shared" si="4"/>
        <v>0</v>
      </c>
      <c r="O41" s="91">
        <f t="shared" si="5"/>
        <v>0</v>
      </c>
      <c r="P41" s="91">
        <f t="shared" si="14"/>
        <v>28000</v>
      </c>
      <c r="Q41" s="91">
        <f t="shared" si="14"/>
        <v>28000</v>
      </c>
      <c r="R41" s="91">
        <f t="shared" si="17"/>
        <v>56000</v>
      </c>
      <c r="T41" s="91">
        <f t="shared" si="8"/>
        <v>0</v>
      </c>
      <c r="U41" s="91">
        <f t="shared" si="9"/>
        <v>0</v>
      </c>
      <c r="V41" s="91">
        <f t="shared" si="10"/>
        <v>0</v>
      </c>
      <c r="W41" s="91">
        <f t="shared" si="10"/>
        <v>0</v>
      </c>
      <c r="X41" s="92">
        <f t="shared" si="18"/>
        <v>0</v>
      </c>
    </row>
    <row r="42" spans="1:24" x14ac:dyDescent="0.25">
      <c r="A42" s="97" t="s">
        <v>65</v>
      </c>
      <c r="B42" s="93" t="s">
        <v>30</v>
      </c>
      <c r="C42" s="93" t="s">
        <v>31</v>
      </c>
      <c r="D42" s="94">
        <v>0</v>
      </c>
      <c r="E42" s="94">
        <f>2*28000</f>
        <v>56000</v>
      </c>
      <c r="F42" s="88">
        <f t="shared" si="19"/>
        <v>56000</v>
      </c>
      <c r="G42" s="94">
        <v>0</v>
      </c>
      <c r="H42" s="88">
        <f t="shared" si="20"/>
        <v>56000</v>
      </c>
      <c r="I42" s="89">
        <f>SUM(H42/'B - Operating Budget'!$D$40)</f>
        <v>2.8296219969114371E-4</v>
      </c>
      <c r="J42" s="95">
        <v>30</v>
      </c>
      <c r="K42" s="96" t="s">
        <v>30</v>
      </c>
      <c r="N42" s="90">
        <f t="shared" si="4"/>
        <v>0</v>
      </c>
      <c r="O42" s="91">
        <f t="shared" si="5"/>
        <v>0</v>
      </c>
      <c r="P42" s="91">
        <f t="shared" si="14"/>
        <v>28000</v>
      </c>
      <c r="Q42" s="91">
        <f t="shared" si="14"/>
        <v>28000</v>
      </c>
      <c r="R42" s="91">
        <f t="shared" si="17"/>
        <v>56000</v>
      </c>
      <c r="T42" s="91">
        <f t="shared" si="8"/>
        <v>0</v>
      </c>
      <c r="U42" s="91">
        <f t="shared" si="9"/>
        <v>0</v>
      </c>
      <c r="V42" s="91">
        <f t="shared" si="10"/>
        <v>0</v>
      </c>
      <c r="W42" s="91">
        <f t="shared" si="10"/>
        <v>0</v>
      </c>
      <c r="X42" s="92">
        <f t="shared" si="18"/>
        <v>0</v>
      </c>
    </row>
    <row r="43" spans="1:24" x14ac:dyDescent="0.25">
      <c r="A43" s="97" t="s">
        <v>66</v>
      </c>
      <c r="B43" s="93" t="s">
        <v>30</v>
      </c>
      <c r="C43" s="93" t="s">
        <v>31</v>
      </c>
      <c r="D43" s="94">
        <v>0</v>
      </c>
      <c r="E43" s="94">
        <f>10000*2</f>
        <v>20000</v>
      </c>
      <c r="F43" s="88">
        <f t="shared" si="19"/>
        <v>20000</v>
      </c>
      <c r="G43" s="94">
        <v>0</v>
      </c>
      <c r="H43" s="88">
        <f t="shared" si="20"/>
        <v>20000</v>
      </c>
      <c r="I43" s="89">
        <f>SUM(H43/'B - Operating Budget'!$D$40)</f>
        <v>1.0105792846112275E-4</v>
      </c>
      <c r="J43" s="95">
        <v>28</v>
      </c>
      <c r="K43" s="96" t="s">
        <v>30</v>
      </c>
      <c r="N43" s="90">
        <f t="shared" si="4"/>
        <v>0</v>
      </c>
      <c r="O43" s="91">
        <f t="shared" si="5"/>
        <v>0</v>
      </c>
      <c r="P43" s="91">
        <f t="shared" si="14"/>
        <v>10000</v>
      </c>
      <c r="Q43" s="91">
        <f t="shared" si="14"/>
        <v>10000</v>
      </c>
      <c r="R43" s="91">
        <f t="shared" si="17"/>
        <v>20000</v>
      </c>
      <c r="T43" s="91">
        <f t="shared" si="8"/>
        <v>0</v>
      </c>
      <c r="U43" s="91">
        <f t="shared" si="9"/>
        <v>0</v>
      </c>
      <c r="V43" s="91">
        <f t="shared" si="10"/>
        <v>0</v>
      </c>
      <c r="W43" s="91">
        <f t="shared" si="10"/>
        <v>0</v>
      </c>
      <c r="X43" s="92">
        <f t="shared" si="18"/>
        <v>0</v>
      </c>
    </row>
    <row r="44" spans="1:24" x14ac:dyDescent="0.25">
      <c r="A44" s="97"/>
      <c r="B44" s="93"/>
      <c r="C44" s="93"/>
      <c r="D44" s="94"/>
      <c r="E44" s="94"/>
      <c r="F44" s="88">
        <f t="shared" si="19"/>
        <v>0</v>
      </c>
      <c r="G44" s="94"/>
      <c r="H44" s="88">
        <f t="shared" si="20"/>
        <v>0</v>
      </c>
      <c r="I44" s="89">
        <f>SUM(H44/'B - Operating Budget'!$D$40)</f>
        <v>0</v>
      </c>
      <c r="J44" s="95"/>
      <c r="K44" s="96"/>
      <c r="N44" s="90">
        <f t="shared" si="4"/>
        <v>0</v>
      </c>
      <c r="O44" s="91">
        <f t="shared" si="5"/>
        <v>0</v>
      </c>
      <c r="P44" s="91">
        <f t="shared" si="14"/>
        <v>0</v>
      </c>
      <c r="Q44" s="91">
        <f t="shared" si="14"/>
        <v>0</v>
      </c>
      <c r="R44" s="91">
        <f t="shared" si="17"/>
        <v>0</v>
      </c>
      <c r="T44" s="91">
        <f t="shared" si="8"/>
        <v>0</v>
      </c>
      <c r="U44" s="91">
        <f t="shared" si="9"/>
        <v>0</v>
      </c>
      <c r="V44" s="91">
        <f t="shared" si="10"/>
        <v>0</v>
      </c>
      <c r="W44" s="91">
        <f t="shared" si="10"/>
        <v>0</v>
      </c>
      <c r="X44" s="92">
        <f t="shared" si="18"/>
        <v>0</v>
      </c>
    </row>
    <row r="45" spans="1:24" x14ac:dyDescent="0.25">
      <c r="A45" s="97"/>
      <c r="B45" s="93"/>
      <c r="C45" s="93"/>
      <c r="D45" s="94"/>
      <c r="E45" s="94"/>
      <c r="F45" s="88">
        <f t="shared" si="19"/>
        <v>0</v>
      </c>
      <c r="G45" s="94"/>
      <c r="H45" s="88">
        <f t="shared" si="20"/>
        <v>0</v>
      </c>
      <c r="I45" s="89">
        <f>SUM(H45/'B - Operating Budget'!$D$40)</f>
        <v>0</v>
      </c>
      <c r="J45" s="95"/>
      <c r="K45" s="96"/>
      <c r="N45" s="90">
        <f t="shared" si="4"/>
        <v>0</v>
      </c>
      <c r="O45" s="91">
        <f t="shared" si="5"/>
        <v>0</v>
      </c>
      <c r="P45" s="91">
        <f t="shared" si="14"/>
        <v>0</v>
      </c>
      <c r="Q45" s="91">
        <f t="shared" si="14"/>
        <v>0</v>
      </c>
      <c r="R45" s="91">
        <f t="shared" si="17"/>
        <v>0</v>
      </c>
      <c r="T45" s="91">
        <f t="shared" si="8"/>
        <v>0</v>
      </c>
      <c r="U45" s="91">
        <f t="shared" si="9"/>
        <v>0</v>
      </c>
      <c r="V45" s="91">
        <f t="shared" si="10"/>
        <v>0</v>
      </c>
      <c r="W45" s="91">
        <f t="shared" si="10"/>
        <v>0</v>
      </c>
      <c r="X45" s="92">
        <f t="shared" si="18"/>
        <v>0</v>
      </c>
    </row>
    <row r="46" spans="1:24" x14ac:dyDescent="0.25">
      <c r="A46" s="97"/>
      <c r="B46" s="93"/>
      <c r="C46" s="93"/>
      <c r="D46" s="94"/>
      <c r="E46" s="94"/>
      <c r="F46" s="88">
        <f t="shared" si="19"/>
        <v>0</v>
      </c>
      <c r="G46" s="94"/>
      <c r="H46" s="88">
        <f t="shared" si="20"/>
        <v>0</v>
      </c>
      <c r="I46" s="89">
        <f>SUM(H46/'B - Operating Budget'!$D$40)</f>
        <v>0</v>
      </c>
      <c r="J46" s="95"/>
      <c r="K46" s="96"/>
      <c r="N46" s="90">
        <f t="shared" si="4"/>
        <v>0</v>
      </c>
      <c r="O46" s="91">
        <f t="shared" si="5"/>
        <v>0</v>
      </c>
      <c r="P46" s="91">
        <f t="shared" si="14"/>
        <v>0</v>
      </c>
      <c r="Q46" s="91">
        <f t="shared" si="14"/>
        <v>0</v>
      </c>
      <c r="R46" s="91">
        <f t="shared" si="17"/>
        <v>0</v>
      </c>
      <c r="T46" s="91">
        <f t="shared" si="8"/>
        <v>0</v>
      </c>
      <c r="U46" s="91">
        <f t="shared" si="9"/>
        <v>0</v>
      </c>
      <c r="V46" s="91">
        <f t="shared" si="10"/>
        <v>0</v>
      </c>
      <c r="W46" s="91">
        <f t="shared" si="10"/>
        <v>0</v>
      </c>
      <c r="X46" s="92">
        <f t="shared" si="18"/>
        <v>0</v>
      </c>
    </row>
    <row r="47" spans="1:24" x14ac:dyDescent="0.25">
      <c r="A47" s="97"/>
      <c r="B47" s="93"/>
      <c r="C47" s="93"/>
      <c r="D47" s="94"/>
      <c r="E47" s="94"/>
      <c r="F47" s="88">
        <f t="shared" si="19"/>
        <v>0</v>
      </c>
      <c r="G47" s="94"/>
      <c r="H47" s="88">
        <f t="shared" si="20"/>
        <v>0</v>
      </c>
      <c r="I47" s="89">
        <f>SUM(H47/'B - Operating Budget'!$D$40)</f>
        <v>0</v>
      </c>
      <c r="J47" s="95"/>
      <c r="K47" s="96"/>
      <c r="N47" s="90">
        <f t="shared" si="4"/>
        <v>0</v>
      </c>
      <c r="O47" s="91">
        <f t="shared" si="5"/>
        <v>0</v>
      </c>
      <c r="P47" s="91">
        <f t="shared" si="14"/>
        <v>0</v>
      </c>
      <c r="Q47" s="91">
        <f t="shared" si="14"/>
        <v>0</v>
      </c>
      <c r="R47" s="91">
        <f t="shared" si="17"/>
        <v>0</v>
      </c>
      <c r="T47" s="91">
        <f t="shared" si="8"/>
        <v>0</v>
      </c>
      <c r="U47" s="91">
        <f t="shared" si="9"/>
        <v>0</v>
      </c>
      <c r="V47" s="91">
        <f t="shared" si="10"/>
        <v>0</v>
      </c>
      <c r="W47" s="91">
        <f t="shared" si="10"/>
        <v>0</v>
      </c>
      <c r="X47" s="92">
        <f t="shared" si="18"/>
        <v>0</v>
      </c>
    </row>
    <row r="48" spans="1:24" x14ac:dyDescent="0.25">
      <c r="A48" s="97"/>
      <c r="B48" s="93"/>
      <c r="C48" s="93"/>
      <c r="D48" s="94"/>
      <c r="E48" s="94"/>
      <c r="F48" s="88">
        <f t="shared" si="19"/>
        <v>0</v>
      </c>
      <c r="G48" s="94"/>
      <c r="H48" s="88">
        <f t="shared" si="20"/>
        <v>0</v>
      </c>
      <c r="I48" s="89">
        <f>SUM(H48/'B - Operating Budget'!$D$40)</f>
        <v>0</v>
      </c>
      <c r="J48" s="95"/>
      <c r="K48" s="96"/>
      <c r="N48" s="90">
        <f t="shared" si="4"/>
        <v>0</v>
      </c>
      <c r="O48" s="91">
        <f t="shared" si="5"/>
        <v>0</v>
      </c>
      <c r="P48" s="91">
        <f t="shared" si="14"/>
        <v>0</v>
      </c>
      <c r="Q48" s="91">
        <f t="shared" si="14"/>
        <v>0</v>
      </c>
      <c r="R48" s="91">
        <f t="shared" si="17"/>
        <v>0</v>
      </c>
      <c r="T48" s="91">
        <f t="shared" si="8"/>
        <v>0</v>
      </c>
      <c r="U48" s="91">
        <f t="shared" si="9"/>
        <v>0</v>
      </c>
      <c r="V48" s="91">
        <f t="shared" si="10"/>
        <v>0</v>
      </c>
      <c r="W48" s="91">
        <f t="shared" si="10"/>
        <v>0</v>
      </c>
      <c r="X48" s="92">
        <f t="shared" si="18"/>
        <v>0</v>
      </c>
    </row>
    <row r="49" spans="1:24" x14ac:dyDescent="0.25">
      <c r="A49" s="97"/>
      <c r="B49" s="93"/>
      <c r="C49" s="93"/>
      <c r="D49" s="94"/>
      <c r="E49" s="94"/>
      <c r="F49" s="88">
        <f t="shared" si="19"/>
        <v>0</v>
      </c>
      <c r="G49" s="94"/>
      <c r="H49" s="88">
        <f t="shared" si="20"/>
        <v>0</v>
      </c>
      <c r="I49" s="89">
        <f>SUM(H49/'B - Operating Budget'!$D$40)</f>
        <v>0</v>
      </c>
      <c r="J49" s="95"/>
      <c r="K49" s="96"/>
      <c r="N49" s="90">
        <f t="shared" si="4"/>
        <v>0</v>
      </c>
      <c r="O49" s="91">
        <f t="shared" si="5"/>
        <v>0</v>
      </c>
      <c r="P49" s="91">
        <f t="shared" si="14"/>
        <v>0</v>
      </c>
      <c r="Q49" s="91">
        <f t="shared" si="14"/>
        <v>0</v>
      </c>
      <c r="R49" s="91">
        <f t="shared" si="17"/>
        <v>0</v>
      </c>
      <c r="T49" s="91">
        <f t="shared" si="8"/>
        <v>0</v>
      </c>
      <c r="U49" s="91">
        <f t="shared" si="9"/>
        <v>0</v>
      </c>
      <c r="V49" s="91">
        <f t="shared" si="10"/>
        <v>0</v>
      </c>
      <c r="W49" s="91">
        <f t="shared" si="10"/>
        <v>0</v>
      </c>
      <c r="X49" s="92">
        <f t="shared" si="18"/>
        <v>0</v>
      </c>
    </row>
    <row r="50" spans="1:24" x14ac:dyDescent="0.25">
      <c r="A50" s="97"/>
      <c r="B50" s="93"/>
      <c r="C50" s="93"/>
      <c r="D50" s="94"/>
      <c r="E50" s="94"/>
      <c r="F50" s="88">
        <f t="shared" si="19"/>
        <v>0</v>
      </c>
      <c r="G50" s="94"/>
      <c r="H50" s="88">
        <f t="shared" si="20"/>
        <v>0</v>
      </c>
      <c r="I50" s="89">
        <f>SUM(H50/'B - Operating Budget'!$D$40)</f>
        <v>0</v>
      </c>
      <c r="J50" s="95"/>
      <c r="K50" s="96"/>
      <c r="N50" s="90">
        <f t="shared" si="4"/>
        <v>0</v>
      </c>
      <c r="O50" s="91">
        <f t="shared" si="5"/>
        <v>0</v>
      </c>
      <c r="P50" s="91">
        <f t="shared" si="14"/>
        <v>0</v>
      </c>
      <c r="Q50" s="91">
        <f t="shared" si="14"/>
        <v>0</v>
      </c>
      <c r="R50" s="91">
        <f t="shared" si="17"/>
        <v>0</v>
      </c>
      <c r="T50" s="91">
        <f t="shared" si="8"/>
        <v>0</v>
      </c>
      <c r="U50" s="91">
        <f t="shared" si="9"/>
        <v>0</v>
      </c>
      <c r="V50" s="91">
        <f t="shared" si="10"/>
        <v>0</v>
      </c>
      <c r="W50" s="91">
        <f t="shared" si="10"/>
        <v>0</v>
      </c>
      <c r="X50" s="92">
        <f t="shared" si="18"/>
        <v>0</v>
      </c>
    </row>
    <row r="51" spans="1:24" x14ac:dyDescent="0.25">
      <c r="A51" s="97"/>
      <c r="B51" s="93"/>
      <c r="C51" s="93"/>
      <c r="D51" s="94"/>
      <c r="E51" s="94"/>
      <c r="F51" s="88">
        <f t="shared" si="19"/>
        <v>0</v>
      </c>
      <c r="G51" s="94"/>
      <c r="H51" s="88">
        <f t="shared" si="20"/>
        <v>0</v>
      </c>
      <c r="I51" s="89">
        <f>SUM(H51/'B - Operating Budget'!$D$40)</f>
        <v>0</v>
      </c>
      <c r="J51" s="95"/>
      <c r="K51" s="96"/>
      <c r="N51" s="90">
        <f t="shared" si="4"/>
        <v>0</v>
      </c>
      <c r="O51" s="91">
        <f t="shared" si="5"/>
        <v>0</v>
      </c>
      <c r="P51" s="91">
        <f t="shared" si="14"/>
        <v>0</v>
      </c>
      <c r="Q51" s="91">
        <f t="shared" si="14"/>
        <v>0</v>
      </c>
      <c r="R51" s="91">
        <f t="shared" si="17"/>
        <v>0</v>
      </c>
      <c r="T51" s="91">
        <f t="shared" si="8"/>
        <v>0</v>
      </c>
      <c r="U51" s="91">
        <f t="shared" si="9"/>
        <v>0</v>
      </c>
      <c r="V51" s="91">
        <f t="shared" si="10"/>
        <v>0</v>
      </c>
      <c r="W51" s="91">
        <f t="shared" si="10"/>
        <v>0</v>
      </c>
      <c r="X51" s="92">
        <f t="shared" si="18"/>
        <v>0</v>
      </c>
    </row>
    <row r="52" spans="1:24" x14ac:dyDescent="0.25">
      <c r="A52" s="97"/>
      <c r="B52" s="93"/>
      <c r="C52" s="93"/>
      <c r="D52" s="94"/>
      <c r="E52" s="94"/>
      <c r="F52" s="88">
        <f t="shared" si="19"/>
        <v>0</v>
      </c>
      <c r="G52" s="94"/>
      <c r="H52" s="88">
        <f t="shared" si="20"/>
        <v>0</v>
      </c>
      <c r="I52" s="89">
        <f>SUM(H52/'B - Operating Budget'!$D$40)</f>
        <v>0</v>
      </c>
      <c r="J52" s="95"/>
      <c r="K52" s="96"/>
      <c r="N52" s="90">
        <f t="shared" si="4"/>
        <v>0</v>
      </c>
      <c r="O52" s="91">
        <f t="shared" si="5"/>
        <v>0</v>
      </c>
      <c r="P52" s="91">
        <f t="shared" si="14"/>
        <v>0</v>
      </c>
      <c r="Q52" s="91">
        <f t="shared" si="14"/>
        <v>0</v>
      </c>
      <c r="R52" s="91">
        <f t="shared" si="17"/>
        <v>0</v>
      </c>
      <c r="T52" s="91">
        <f t="shared" si="8"/>
        <v>0</v>
      </c>
      <c r="U52" s="91">
        <f t="shared" si="9"/>
        <v>0</v>
      </c>
      <c r="V52" s="91">
        <f t="shared" si="10"/>
        <v>0</v>
      </c>
      <c r="W52" s="91">
        <f t="shared" si="10"/>
        <v>0</v>
      </c>
      <c r="X52" s="92">
        <f t="shared" si="18"/>
        <v>0</v>
      </c>
    </row>
    <row r="53" spans="1:24" x14ac:dyDescent="0.25">
      <c r="A53" s="97"/>
      <c r="B53" s="93"/>
      <c r="C53" s="93"/>
      <c r="D53" s="94"/>
      <c r="E53" s="94"/>
      <c r="F53" s="88">
        <f t="shared" si="19"/>
        <v>0</v>
      </c>
      <c r="G53" s="94"/>
      <c r="H53" s="88">
        <f t="shared" si="20"/>
        <v>0</v>
      </c>
      <c r="I53" s="89">
        <f>SUM(H53/'B - Operating Budget'!$D$40)</f>
        <v>0</v>
      </c>
      <c r="J53" s="95"/>
      <c r="K53" s="96"/>
      <c r="N53" s="90">
        <f t="shared" si="4"/>
        <v>0</v>
      </c>
      <c r="O53" s="91">
        <f t="shared" si="5"/>
        <v>0</v>
      </c>
      <c r="P53" s="91">
        <f t="shared" si="14"/>
        <v>0</v>
      </c>
      <c r="Q53" s="91">
        <f t="shared" si="14"/>
        <v>0</v>
      </c>
      <c r="R53" s="91">
        <f t="shared" si="17"/>
        <v>0</v>
      </c>
      <c r="T53" s="91">
        <f t="shared" si="8"/>
        <v>0</v>
      </c>
      <c r="U53" s="91">
        <f t="shared" si="9"/>
        <v>0</v>
      </c>
      <c r="V53" s="91">
        <f t="shared" si="10"/>
        <v>0</v>
      </c>
      <c r="W53" s="91">
        <f t="shared" si="10"/>
        <v>0</v>
      </c>
      <c r="X53" s="92">
        <f t="shared" si="18"/>
        <v>0</v>
      </c>
    </row>
    <row r="54" spans="1:24" x14ac:dyDescent="0.25">
      <c r="A54" s="97"/>
      <c r="B54" s="93"/>
      <c r="C54" s="93"/>
      <c r="D54" s="94"/>
      <c r="E54" s="94"/>
      <c r="F54" s="88">
        <f t="shared" si="19"/>
        <v>0</v>
      </c>
      <c r="G54" s="94"/>
      <c r="H54" s="88">
        <f t="shared" si="20"/>
        <v>0</v>
      </c>
      <c r="I54" s="89">
        <f>SUM(H54/'B - Operating Budget'!$D$40)</f>
        <v>0</v>
      </c>
      <c r="J54" s="95"/>
      <c r="K54" s="96"/>
      <c r="N54" s="90">
        <f t="shared" si="4"/>
        <v>0</v>
      </c>
      <c r="O54" s="91">
        <f t="shared" si="5"/>
        <v>0</v>
      </c>
      <c r="P54" s="91">
        <f t="shared" si="14"/>
        <v>0</v>
      </c>
      <c r="Q54" s="91">
        <f t="shared" si="14"/>
        <v>0</v>
      </c>
      <c r="R54" s="91">
        <f t="shared" si="17"/>
        <v>0</v>
      </c>
      <c r="T54" s="91">
        <f t="shared" si="8"/>
        <v>0</v>
      </c>
      <c r="U54" s="91">
        <f t="shared" si="9"/>
        <v>0</v>
      </c>
      <c r="V54" s="91">
        <f t="shared" si="10"/>
        <v>0</v>
      </c>
      <c r="W54" s="91">
        <f t="shared" si="10"/>
        <v>0</v>
      </c>
      <c r="X54" s="92">
        <f t="shared" si="18"/>
        <v>0</v>
      </c>
    </row>
    <row r="55" spans="1:24" x14ac:dyDescent="0.25">
      <c r="A55" s="97"/>
      <c r="B55" s="93"/>
      <c r="C55" s="93"/>
      <c r="D55" s="94"/>
      <c r="E55" s="94"/>
      <c r="F55" s="88">
        <f t="shared" si="19"/>
        <v>0</v>
      </c>
      <c r="G55" s="94"/>
      <c r="H55" s="88">
        <f t="shared" si="20"/>
        <v>0</v>
      </c>
      <c r="I55" s="89">
        <f>SUM(H55/'B - Operating Budget'!$D$40)</f>
        <v>0</v>
      </c>
      <c r="J55" s="95"/>
      <c r="K55" s="96"/>
      <c r="N55" s="90">
        <f t="shared" si="4"/>
        <v>0</v>
      </c>
      <c r="O55" s="91">
        <f t="shared" si="5"/>
        <v>0</v>
      </c>
      <c r="P55" s="91">
        <f t="shared" si="14"/>
        <v>0</v>
      </c>
      <c r="Q55" s="91">
        <f t="shared" si="14"/>
        <v>0</v>
      </c>
      <c r="R55" s="91">
        <f t="shared" si="17"/>
        <v>0</v>
      </c>
      <c r="T55" s="91">
        <f t="shared" si="8"/>
        <v>0</v>
      </c>
      <c r="U55" s="91">
        <f t="shared" si="9"/>
        <v>0</v>
      </c>
      <c r="V55" s="91">
        <f t="shared" si="10"/>
        <v>0</v>
      </c>
      <c r="W55" s="91">
        <f t="shared" si="10"/>
        <v>0</v>
      </c>
      <c r="X55" s="92">
        <f t="shared" si="18"/>
        <v>0</v>
      </c>
    </row>
    <row r="56" spans="1:24" x14ac:dyDescent="0.25">
      <c r="A56" s="97"/>
      <c r="B56" s="93"/>
      <c r="C56" s="93"/>
      <c r="D56" s="94"/>
      <c r="E56" s="94"/>
      <c r="F56" s="88">
        <f t="shared" si="19"/>
        <v>0</v>
      </c>
      <c r="G56" s="94"/>
      <c r="H56" s="88">
        <f t="shared" si="20"/>
        <v>0</v>
      </c>
      <c r="I56" s="89">
        <f>SUM(H56/'B - Operating Budget'!$D$40)</f>
        <v>0</v>
      </c>
      <c r="J56" s="95"/>
      <c r="K56" s="96"/>
      <c r="N56" s="90">
        <f t="shared" si="4"/>
        <v>0</v>
      </c>
      <c r="O56" s="91">
        <f t="shared" si="5"/>
        <v>0</v>
      </c>
      <c r="P56" s="91">
        <f t="shared" si="14"/>
        <v>0</v>
      </c>
      <c r="Q56" s="91">
        <f t="shared" si="14"/>
        <v>0</v>
      </c>
      <c r="R56" s="91">
        <f t="shared" si="17"/>
        <v>0</v>
      </c>
      <c r="T56" s="91">
        <f t="shared" si="8"/>
        <v>0</v>
      </c>
      <c r="U56" s="91">
        <f t="shared" si="9"/>
        <v>0</v>
      </c>
      <c r="V56" s="91">
        <f t="shared" si="10"/>
        <v>0</v>
      </c>
      <c r="W56" s="91">
        <f t="shared" si="10"/>
        <v>0</v>
      </c>
      <c r="X56" s="92">
        <f t="shared" si="18"/>
        <v>0</v>
      </c>
    </row>
    <row r="57" spans="1:24" x14ac:dyDescent="0.25">
      <c r="A57" s="97"/>
      <c r="B57" s="93"/>
      <c r="C57" s="93"/>
      <c r="D57" s="94"/>
      <c r="E57" s="94"/>
      <c r="F57" s="88">
        <f t="shared" si="19"/>
        <v>0</v>
      </c>
      <c r="G57" s="94"/>
      <c r="H57" s="88">
        <f t="shared" si="20"/>
        <v>0</v>
      </c>
      <c r="I57" s="89">
        <f>SUM(H57/'B - Operating Budget'!$D$40)</f>
        <v>0</v>
      </c>
      <c r="J57" s="95"/>
      <c r="K57" s="96"/>
      <c r="N57" s="90">
        <f t="shared" si="4"/>
        <v>0</v>
      </c>
      <c r="O57" s="91">
        <f t="shared" si="5"/>
        <v>0</v>
      </c>
      <c r="P57" s="91">
        <f t="shared" si="14"/>
        <v>0</v>
      </c>
      <c r="Q57" s="91">
        <f t="shared" si="14"/>
        <v>0</v>
      </c>
      <c r="R57" s="91">
        <f t="shared" si="17"/>
        <v>0</v>
      </c>
      <c r="T57" s="91">
        <f t="shared" si="8"/>
        <v>0</v>
      </c>
      <c r="U57" s="91">
        <f t="shared" si="9"/>
        <v>0</v>
      </c>
      <c r="V57" s="91">
        <f t="shared" si="10"/>
        <v>0</v>
      </c>
      <c r="W57" s="91">
        <f t="shared" si="10"/>
        <v>0</v>
      </c>
      <c r="X57" s="92">
        <f t="shared" si="18"/>
        <v>0</v>
      </c>
    </row>
    <row r="58" spans="1:24" x14ac:dyDescent="0.25">
      <c r="A58" s="97"/>
      <c r="B58" s="93"/>
      <c r="C58" s="93"/>
      <c r="D58" s="94"/>
      <c r="E58" s="94"/>
      <c r="F58" s="88">
        <f t="shared" si="12"/>
        <v>0</v>
      </c>
      <c r="G58" s="94"/>
      <c r="H58" s="88">
        <f t="shared" si="3"/>
        <v>0</v>
      </c>
      <c r="I58" s="89">
        <f>SUM(H58/'B - Operating Budget'!$D$40)</f>
        <v>0</v>
      </c>
      <c r="J58" s="95"/>
      <c r="K58" s="96"/>
      <c r="N58" s="90">
        <f t="shared" si="4"/>
        <v>0</v>
      </c>
      <c r="O58" s="91">
        <f t="shared" si="5"/>
        <v>0</v>
      </c>
      <c r="P58" s="91">
        <f t="shared" si="14"/>
        <v>0</v>
      </c>
      <c r="Q58" s="91">
        <f t="shared" si="14"/>
        <v>0</v>
      </c>
      <c r="R58" s="91">
        <f t="shared" si="13"/>
        <v>0</v>
      </c>
      <c r="T58" s="91">
        <f t="shared" si="8"/>
        <v>0</v>
      </c>
      <c r="U58" s="91">
        <f t="shared" si="9"/>
        <v>0</v>
      </c>
      <c r="V58" s="91">
        <f t="shared" si="10"/>
        <v>0</v>
      </c>
      <c r="W58" s="91">
        <f t="shared" si="10"/>
        <v>0</v>
      </c>
      <c r="X58" s="92">
        <f t="shared" si="11"/>
        <v>0</v>
      </c>
    </row>
    <row r="59" spans="1:24" x14ac:dyDescent="0.25">
      <c r="A59" s="98"/>
      <c r="B59" s="99"/>
      <c r="C59" s="99"/>
      <c r="D59" s="100"/>
      <c r="E59" s="100"/>
      <c r="F59" s="88">
        <f t="shared" si="12"/>
        <v>0</v>
      </c>
      <c r="G59" s="94"/>
      <c r="H59" s="88">
        <f t="shared" si="3"/>
        <v>0</v>
      </c>
      <c r="I59" s="89">
        <f>SUM(H59/'B - Operating Budget'!$D$40)</f>
        <v>0</v>
      </c>
      <c r="J59" s="95"/>
      <c r="K59" s="96"/>
      <c r="N59" s="90">
        <f t="shared" si="4"/>
        <v>0</v>
      </c>
      <c r="O59" s="91">
        <f t="shared" si="5"/>
        <v>0</v>
      </c>
      <c r="P59" s="91">
        <f t="shared" si="14"/>
        <v>0</v>
      </c>
      <c r="Q59" s="91">
        <f t="shared" si="14"/>
        <v>0</v>
      </c>
      <c r="R59" s="91">
        <f t="shared" si="13"/>
        <v>0</v>
      </c>
      <c r="T59" s="91">
        <f t="shared" si="8"/>
        <v>0</v>
      </c>
      <c r="U59" s="91">
        <f t="shared" si="9"/>
        <v>0</v>
      </c>
      <c r="V59" s="91">
        <f t="shared" si="10"/>
        <v>0</v>
      </c>
      <c r="W59" s="91">
        <f t="shared" si="10"/>
        <v>0</v>
      </c>
      <c r="X59" s="92">
        <f t="shared" si="11"/>
        <v>0</v>
      </c>
    </row>
    <row r="60" spans="1:24" x14ac:dyDescent="0.25">
      <c r="A60" s="97"/>
      <c r="B60" s="93"/>
      <c r="C60" s="93"/>
      <c r="D60" s="94"/>
      <c r="E60" s="94"/>
      <c r="F60" s="88">
        <f t="shared" si="12"/>
        <v>0</v>
      </c>
      <c r="G60" s="94"/>
      <c r="H60" s="88">
        <f t="shared" si="3"/>
        <v>0</v>
      </c>
      <c r="I60" s="89">
        <f>SUM(H60/'B - Operating Budget'!$D$40)</f>
        <v>0</v>
      </c>
      <c r="J60" s="95"/>
      <c r="K60" s="96"/>
      <c r="N60" s="90">
        <f t="shared" si="4"/>
        <v>0</v>
      </c>
      <c r="O60" s="91">
        <f t="shared" si="5"/>
        <v>0</v>
      </c>
      <c r="P60" s="91">
        <f t="shared" si="14"/>
        <v>0</v>
      </c>
      <c r="Q60" s="91">
        <f t="shared" si="14"/>
        <v>0</v>
      </c>
      <c r="R60" s="91">
        <f t="shared" si="13"/>
        <v>0</v>
      </c>
      <c r="T60" s="91">
        <f t="shared" si="8"/>
        <v>0</v>
      </c>
      <c r="U60" s="91">
        <f t="shared" si="9"/>
        <v>0</v>
      </c>
      <c r="V60" s="91">
        <f t="shared" si="10"/>
        <v>0</v>
      </c>
      <c r="W60" s="91">
        <f t="shared" si="10"/>
        <v>0</v>
      </c>
      <c r="X60" s="92">
        <f t="shared" si="11"/>
        <v>0</v>
      </c>
    </row>
    <row r="61" spans="1:24" x14ac:dyDescent="0.25">
      <c r="A61" s="97"/>
      <c r="B61" s="93"/>
      <c r="C61" s="93"/>
      <c r="D61" s="94"/>
      <c r="E61" s="94"/>
      <c r="F61" s="88">
        <f t="shared" si="12"/>
        <v>0</v>
      </c>
      <c r="G61" s="94"/>
      <c r="H61" s="88">
        <f t="shared" si="3"/>
        <v>0</v>
      </c>
      <c r="I61" s="89">
        <f>SUM(H61/'B - Operating Budget'!$D$40)</f>
        <v>0</v>
      </c>
      <c r="J61" s="95"/>
      <c r="K61" s="96"/>
      <c r="N61" s="90">
        <f t="shared" si="4"/>
        <v>0</v>
      </c>
      <c r="O61" s="91">
        <f t="shared" si="5"/>
        <v>0</v>
      </c>
      <c r="P61" s="91">
        <f t="shared" si="14"/>
        <v>0</v>
      </c>
      <c r="Q61" s="91">
        <f t="shared" si="14"/>
        <v>0</v>
      </c>
      <c r="R61" s="91">
        <f t="shared" si="13"/>
        <v>0</v>
      </c>
      <c r="T61" s="91">
        <f t="shared" si="8"/>
        <v>0</v>
      </c>
      <c r="U61" s="91">
        <f t="shared" si="9"/>
        <v>0</v>
      </c>
      <c r="V61" s="91">
        <f t="shared" si="10"/>
        <v>0</v>
      </c>
      <c r="W61" s="91">
        <f t="shared" si="10"/>
        <v>0</v>
      </c>
      <c r="X61" s="92">
        <f t="shared" si="11"/>
        <v>0</v>
      </c>
    </row>
    <row r="62" spans="1:24" x14ac:dyDescent="0.25">
      <c r="A62" s="97"/>
      <c r="B62" s="93"/>
      <c r="C62" s="93"/>
      <c r="D62" s="94"/>
      <c r="E62" s="94"/>
      <c r="F62" s="88">
        <f t="shared" si="12"/>
        <v>0</v>
      </c>
      <c r="G62" s="94"/>
      <c r="H62" s="88">
        <f t="shared" si="3"/>
        <v>0</v>
      </c>
      <c r="I62" s="89">
        <f>SUM(H62/'B - Operating Budget'!$D$40)</f>
        <v>0</v>
      </c>
      <c r="J62" s="95"/>
      <c r="K62" s="96"/>
      <c r="N62" s="90">
        <f t="shared" si="4"/>
        <v>0</v>
      </c>
      <c r="O62" s="91">
        <f t="shared" si="5"/>
        <v>0</v>
      </c>
      <c r="P62" s="91">
        <f t="shared" si="14"/>
        <v>0</v>
      </c>
      <c r="Q62" s="91">
        <f t="shared" si="14"/>
        <v>0</v>
      </c>
      <c r="R62" s="91">
        <f t="shared" si="13"/>
        <v>0</v>
      </c>
      <c r="T62" s="91">
        <f t="shared" si="8"/>
        <v>0</v>
      </c>
      <c r="U62" s="91">
        <f t="shared" si="9"/>
        <v>0</v>
      </c>
      <c r="V62" s="91">
        <f t="shared" si="10"/>
        <v>0</v>
      </c>
      <c r="W62" s="91">
        <f t="shared" si="10"/>
        <v>0</v>
      </c>
      <c r="X62" s="92">
        <f t="shared" si="11"/>
        <v>0</v>
      </c>
    </row>
    <row r="63" spans="1:24" x14ac:dyDescent="0.25">
      <c r="A63" s="97"/>
      <c r="B63" s="93"/>
      <c r="C63" s="93"/>
      <c r="D63" s="94"/>
      <c r="E63" s="94"/>
      <c r="F63" s="88">
        <f t="shared" si="12"/>
        <v>0</v>
      </c>
      <c r="G63" s="94"/>
      <c r="H63" s="88">
        <f>SUM(F63:G63)</f>
        <v>0</v>
      </c>
      <c r="I63" s="89">
        <f>SUM(H63/'B - Operating Budget'!$D$40)</f>
        <v>0</v>
      </c>
      <c r="J63" s="95"/>
      <c r="K63" s="96"/>
      <c r="N63" s="90">
        <f t="shared" si="4"/>
        <v>0</v>
      </c>
      <c r="O63" s="91">
        <f t="shared" si="5"/>
        <v>0</v>
      </c>
      <c r="P63" s="91">
        <f t="shared" si="14"/>
        <v>0</v>
      </c>
      <c r="Q63" s="91">
        <f t="shared" si="14"/>
        <v>0</v>
      </c>
      <c r="R63" s="91">
        <f t="shared" si="13"/>
        <v>0</v>
      </c>
      <c r="T63" s="91">
        <f t="shared" si="8"/>
        <v>0</v>
      </c>
      <c r="U63" s="91">
        <f t="shared" si="9"/>
        <v>0</v>
      </c>
      <c r="V63" s="91">
        <f t="shared" si="10"/>
        <v>0</v>
      </c>
      <c r="W63" s="91">
        <f t="shared" si="10"/>
        <v>0</v>
      </c>
      <c r="X63" s="92">
        <f t="shared" si="11"/>
        <v>0</v>
      </c>
    </row>
    <row r="64" spans="1:24" x14ac:dyDescent="0.25">
      <c r="A64" s="97"/>
      <c r="B64" s="93"/>
      <c r="C64" s="93"/>
      <c r="D64" s="94"/>
      <c r="E64" s="94"/>
      <c r="F64" s="88">
        <f t="shared" si="12"/>
        <v>0</v>
      </c>
      <c r="G64" s="94"/>
      <c r="H64" s="88">
        <f>SUM(F64:G64)</f>
        <v>0</v>
      </c>
      <c r="I64" s="89">
        <f>SUM(H64/'B - Operating Budget'!$D$40)</f>
        <v>0</v>
      </c>
      <c r="J64" s="95"/>
      <c r="K64" s="96"/>
      <c r="N64" s="90">
        <f t="shared" si="4"/>
        <v>0</v>
      </c>
      <c r="O64" s="91">
        <f t="shared" si="5"/>
        <v>0</v>
      </c>
      <c r="P64" s="91">
        <f t="shared" si="14"/>
        <v>0</v>
      </c>
      <c r="Q64" s="91">
        <f t="shared" si="14"/>
        <v>0</v>
      </c>
      <c r="R64" s="91">
        <f t="shared" si="13"/>
        <v>0</v>
      </c>
      <c r="T64" s="91">
        <f t="shared" si="8"/>
        <v>0</v>
      </c>
      <c r="U64" s="91">
        <f t="shared" si="9"/>
        <v>0</v>
      </c>
      <c r="V64" s="91">
        <f t="shared" si="10"/>
        <v>0</v>
      </c>
      <c r="W64" s="91">
        <f t="shared" si="10"/>
        <v>0</v>
      </c>
      <c r="X64" s="92">
        <f t="shared" si="11"/>
        <v>0</v>
      </c>
    </row>
    <row r="65" spans="1:24" x14ac:dyDescent="0.25">
      <c r="A65" s="97"/>
      <c r="B65" s="93"/>
      <c r="C65" s="93"/>
      <c r="D65" s="94"/>
      <c r="E65" s="94"/>
      <c r="F65" s="88">
        <f t="shared" si="12"/>
        <v>0</v>
      </c>
      <c r="G65" s="94"/>
      <c r="H65" s="88">
        <f>SUM(F65:G65)</f>
        <v>0</v>
      </c>
      <c r="I65" s="89">
        <f>SUM(H65/'B - Operating Budget'!$D$40)</f>
        <v>0</v>
      </c>
      <c r="J65" s="95"/>
      <c r="K65" s="96"/>
      <c r="N65" s="90">
        <f t="shared" si="4"/>
        <v>0</v>
      </c>
      <c r="O65" s="91">
        <f t="shared" si="5"/>
        <v>0</v>
      </c>
      <c r="P65" s="91">
        <f t="shared" si="14"/>
        <v>0</v>
      </c>
      <c r="Q65" s="91">
        <f t="shared" si="14"/>
        <v>0</v>
      </c>
      <c r="R65" s="91">
        <f t="shared" si="13"/>
        <v>0</v>
      </c>
      <c r="T65" s="91">
        <f t="shared" si="8"/>
        <v>0</v>
      </c>
      <c r="U65" s="91">
        <f t="shared" si="9"/>
        <v>0</v>
      </c>
      <c r="V65" s="91">
        <f t="shared" si="10"/>
        <v>0</v>
      </c>
      <c r="W65" s="91">
        <f t="shared" si="10"/>
        <v>0</v>
      </c>
      <c r="X65" s="92">
        <f t="shared" si="11"/>
        <v>0</v>
      </c>
    </row>
    <row r="66" spans="1:24" x14ac:dyDescent="0.25">
      <c r="A66" s="97"/>
      <c r="B66" s="93"/>
      <c r="C66" s="93"/>
      <c r="D66" s="94"/>
      <c r="E66" s="94"/>
      <c r="F66" s="88">
        <f t="shared" si="12"/>
        <v>0</v>
      </c>
      <c r="G66" s="94"/>
      <c r="H66" s="88">
        <f>SUM(F66:G66)</f>
        <v>0</v>
      </c>
      <c r="I66" s="89">
        <f>SUM(H66/'B - Operating Budget'!$D$40)</f>
        <v>0</v>
      </c>
      <c r="J66" s="95"/>
      <c r="K66" s="96"/>
      <c r="N66" s="90">
        <f t="shared" si="4"/>
        <v>0</v>
      </c>
      <c r="O66" s="91">
        <f t="shared" si="5"/>
        <v>0</v>
      </c>
      <c r="P66" s="91">
        <f t="shared" si="14"/>
        <v>0</v>
      </c>
      <c r="Q66" s="91">
        <f t="shared" si="14"/>
        <v>0</v>
      </c>
      <c r="R66" s="91">
        <f t="shared" si="13"/>
        <v>0</v>
      </c>
      <c r="T66" s="91">
        <f t="shared" si="8"/>
        <v>0</v>
      </c>
      <c r="U66" s="91">
        <f t="shared" si="9"/>
        <v>0</v>
      </c>
      <c r="V66" s="91">
        <f t="shared" si="10"/>
        <v>0</v>
      </c>
      <c r="W66" s="91">
        <f t="shared" si="10"/>
        <v>0</v>
      </c>
      <c r="X66" s="92">
        <f t="shared" si="11"/>
        <v>0</v>
      </c>
    </row>
    <row r="67" spans="1:24" x14ac:dyDescent="0.25">
      <c r="A67" s="97"/>
      <c r="B67" s="93"/>
      <c r="C67" s="93"/>
      <c r="D67" s="94"/>
      <c r="E67" s="94"/>
      <c r="F67" s="88">
        <f t="shared" si="12"/>
        <v>0</v>
      </c>
      <c r="G67" s="94"/>
      <c r="H67" s="88">
        <f t="shared" si="3"/>
        <v>0</v>
      </c>
      <c r="I67" s="89">
        <f>SUM(H67/'B - Operating Budget'!$D$40)</f>
        <v>0</v>
      </c>
      <c r="J67" s="95"/>
      <c r="K67" s="96"/>
      <c r="N67" s="90">
        <f t="shared" si="4"/>
        <v>0</v>
      </c>
      <c r="O67" s="91">
        <f t="shared" si="5"/>
        <v>0</v>
      </c>
      <c r="P67" s="91">
        <f t="shared" si="14"/>
        <v>0</v>
      </c>
      <c r="Q67" s="91">
        <f t="shared" si="14"/>
        <v>0</v>
      </c>
      <c r="R67" s="91">
        <f t="shared" si="13"/>
        <v>0</v>
      </c>
      <c r="T67" s="91">
        <f t="shared" si="8"/>
        <v>0</v>
      </c>
      <c r="U67" s="91">
        <f t="shared" si="9"/>
        <v>0</v>
      </c>
      <c r="V67" s="91">
        <f t="shared" si="10"/>
        <v>0</v>
      </c>
      <c r="W67" s="91">
        <f t="shared" si="10"/>
        <v>0</v>
      </c>
      <c r="X67" s="92">
        <f t="shared" si="11"/>
        <v>0</v>
      </c>
    </row>
    <row r="68" spans="1:24" x14ac:dyDescent="0.25">
      <c r="A68" s="97"/>
      <c r="B68" s="93"/>
      <c r="C68" s="93"/>
      <c r="D68" s="94"/>
      <c r="E68" s="94"/>
      <c r="F68" s="88">
        <f t="shared" si="12"/>
        <v>0</v>
      </c>
      <c r="G68" s="94"/>
      <c r="H68" s="88">
        <f t="shared" si="3"/>
        <v>0</v>
      </c>
      <c r="I68" s="89">
        <f>SUM(H68/'B - Operating Budget'!$D$40)</f>
        <v>0</v>
      </c>
      <c r="J68" s="95"/>
      <c r="K68" s="96"/>
      <c r="N68" s="90">
        <f t="shared" si="4"/>
        <v>0</v>
      </c>
      <c r="O68" s="91">
        <f t="shared" si="5"/>
        <v>0</v>
      </c>
      <c r="P68" s="91">
        <f t="shared" si="14"/>
        <v>0</v>
      </c>
      <c r="Q68" s="91">
        <f t="shared" si="14"/>
        <v>0</v>
      </c>
      <c r="R68" s="91">
        <f t="shared" si="13"/>
        <v>0</v>
      </c>
      <c r="T68" s="91">
        <f t="shared" si="8"/>
        <v>0</v>
      </c>
      <c r="U68" s="91">
        <f t="shared" si="9"/>
        <v>0</v>
      </c>
      <c r="V68" s="91">
        <f t="shared" si="10"/>
        <v>0</v>
      </c>
      <c r="W68" s="91">
        <f t="shared" si="10"/>
        <v>0</v>
      </c>
      <c r="X68" s="92">
        <f t="shared" si="11"/>
        <v>0</v>
      </c>
    </row>
    <row r="69" spans="1:24" x14ac:dyDescent="0.25">
      <c r="A69" s="97"/>
      <c r="B69" s="93"/>
      <c r="C69" s="93"/>
      <c r="D69" s="94"/>
      <c r="E69" s="94"/>
      <c r="F69" s="88">
        <f t="shared" si="12"/>
        <v>0</v>
      </c>
      <c r="G69" s="94"/>
      <c r="H69" s="88">
        <f t="shared" si="3"/>
        <v>0</v>
      </c>
      <c r="I69" s="89">
        <f>SUM(H69/'B - Operating Budget'!$D$40)</f>
        <v>0</v>
      </c>
      <c r="J69" s="95"/>
      <c r="K69" s="96"/>
      <c r="N69" s="90">
        <f t="shared" si="4"/>
        <v>0</v>
      </c>
      <c r="O69" s="91">
        <f t="shared" si="5"/>
        <v>0</v>
      </c>
      <c r="P69" s="91">
        <f t="shared" si="14"/>
        <v>0</v>
      </c>
      <c r="Q69" s="91">
        <f t="shared" si="14"/>
        <v>0</v>
      </c>
      <c r="R69" s="91">
        <f t="shared" si="13"/>
        <v>0</v>
      </c>
      <c r="T69" s="91">
        <f t="shared" si="8"/>
        <v>0</v>
      </c>
      <c r="U69" s="91">
        <f t="shared" si="9"/>
        <v>0</v>
      </c>
      <c r="V69" s="91">
        <f t="shared" si="10"/>
        <v>0</v>
      </c>
      <c r="W69" s="91">
        <f t="shared" si="10"/>
        <v>0</v>
      </c>
      <c r="X69" s="92">
        <f t="shared" si="11"/>
        <v>0</v>
      </c>
    </row>
    <row r="70" spans="1:24" x14ac:dyDescent="0.25">
      <c r="A70" s="97"/>
      <c r="B70" s="93"/>
      <c r="C70" s="93"/>
      <c r="D70" s="94"/>
      <c r="E70" s="94"/>
      <c r="F70" s="88">
        <f t="shared" si="12"/>
        <v>0</v>
      </c>
      <c r="G70" s="94"/>
      <c r="H70" s="88">
        <f t="shared" si="3"/>
        <v>0</v>
      </c>
      <c r="I70" s="89">
        <f>SUM(H70/'B - Operating Budget'!$D$40)</f>
        <v>0</v>
      </c>
      <c r="J70" s="95"/>
      <c r="K70" s="96"/>
      <c r="N70" s="90">
        <f t="shared" si="4"/>
        <v>0</v>
      </c>
      <c r="O70" s="91">
        <f t="shared" si="5"/>
        <v>0</v>
      </c>
      <c r="P70" s="91">
        <f t="shared" si="14"/>
        <v>0</v>
      </c>
      <c r="Q70" s="91">
        <f t="shared" si="14"/>
        <v>0</v>
      </c>
      <c r="R70" s="91">
        <f t="shared" si="13"/>
        <v>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c r="H71" s="88">
        <f t="shared" ref="H71:H90" si="21">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2">IF($K71="no",SUM($G71*0.5),0)</f>
        <v>0</v>
      </c>
      <c r="W71" s="91">
        <f t="shared" si="22"/>
        <v>0</v>
      </c>
      <c r="X71" s="92">
        <f t="shared" si="11"/>
        <v>0</v>
      </c>
    </row>
    <row r="72" spans="1:24" x14ac:dyDescent="0.25">
      <c r="A72" s="97"/>
      <c r="B72" s="93"/>
      <c r="C72" s="93"/>
      <c r="D72" s="94"/>
      <c r="E72" s="94"/>
      <c r="F72" s="88">
        <f t="shared" si="12"/>
        <v>0</v>
      </c>
      <c r="G72" s="94"/>
      <c r="H72" s="88">
        <f t="shared" ref="H72:H86" si="23">SUM(F72:G72)</f>
        <v>0</v>
      </c>
      <c r="I72" s="89">
        <f>SUM(H72/'B - Operating Budget'!$D$40)</f>
        <v>0</v>
      </c>
      <c r="J72" s="95"/>
      <c r="K72" s="96"/>
      <c r="N72" s="90">
        <f t="shared" si="4"/>
        <v>0</v>
      </c>
      <c r="O72" s="91">
        <f t="shared" si="5"/>
        <v>0</v>
      </c>
      <c r="P72" s="91">
        <f t="shared" si="14"/>
        <v>0</v>
      </c>
      <c r="Q72" s="91">
        <f t="shared" si="14"/>
        <v>0</v>
      </c>
      <c r="R72" s="91">
        <f t="shared" ref="R72:R86" si="24">SUM(N72:Q72)</f>
        <v>0</v>
      </c>
      <c r="T72" s="91">
        <f t="shared" si="8"/>
        <v>0</v>
      </c>
      <c r="U72" s="91">
        <f t="shared" si="9"/>
        <v>0</v>
      </c>
      <c r="V72" s="91">
        <f t="shared" si="10"/>
        <v>0</v>
      </c>
      <c r="W72" s="91">
        <f t="shared" si="10"/>
        <v>0</v>
      </c>
      <c r="X72" s="92">
        <f t="shared" ref="X72:X86" si="25">SUM(T72:W72)</f>
        <v>0</v>
      </c>
    </row>
    <row r="73" spans="1:24" x14ac:dyDescent="0.25">
      <c r="A73" s="97"/>
      <c r="B73" s="93"/>
      <c r="C73" s="93"/>
      <c r="D73" s="94"/>
      <c r="E73" s="94"/>
      <c r="F73" s="88">
        <f t="shared" si="12"/>
        <v>0</v>
      </c>
      <c r="G73" s="94"/>
      <c r="H73" s="88">
        <f t="shared" si="23"/>
        <v>0</v>
      </c>
      <c r="I73" s="89">
        <f>SUM(H73/'B - Operating Budget'!$D$40)</f>
        <v>0</v>
      </c>
      <c r="J73" s="95"/>
      <c r="K73" s="96"/>
      <c r="N73" s="90">
        <f t="shared" si="4"/>
        <v>0</v>
      </c>
      <c r="O73" s="91">
        <f t="shared" si="5"/>
        <v>0</v>
      </c>
      <c r="P73" s="91">
        <f t="shared" si="14"/>
        <v>0</v>
      </c>
      <c r="Q73" s="91">
        <f t="shared" si="14"/>
        <v>0</v>
      </c>
      <c r="R73" s="91">
        <f t="shared" si="24"/>
        <v>0</v>
      </c>
      <c r="T73" s="91">
        <f t="shared" si="8"/>
        <v>0</v>
      </c>
      <c r="U73" s="91">
        <f t="shared" si="9"/>
        <v>0</v>
      </c>
      <c r="V73" s="91">
        <f t="shared" ref="V73:W86" si="26">IF($K73="no",SUM($G73*0.5),0)</f>
        <v>0</v>
      </c>
      <c r="W73" s="91">
        <f t="shared" si="26"/>
        <v>0</v>
      </c>
      <c r="X73" s="92">
        <f t="shared" si="25"/>
        <v>0</v>
      </c>
    </row>
    <row r="74" spans="1:24" x14ac:dyDescent="0.25">
      <c r="A74" s="97"/>
      <c r="B74" s="93"/>
      <c r="C74" s="93"/>
      <c r="D74" s="94"/>
      <c r="E74" s="94"/>
      <c r="F74" s="88">
        <f t="shared" si="12"/>
        <v>0</v>
      </c>
      <c r="G74" s="94"/>
      <c r="H74" s="88">
        <f t="shared" si="23"/>
        <v>0</v>
      </c>
      <c r="I74" s="89">
        <f>SUM(H74/'B - Operating Budget'!$D$40)</f>
        <v>0</v>
      </c>
      <c r="J74" s="95"/>
      <c r="K74" s="96"/>
      <c r="N74" s="90">
        <f t="shared" si="4"/>
        <v>0</v>
      </c>
      <c r="O74" s="91">
        <f t="shared" si="5"/>
        <v>0</v>
      </c>
      <c r="P74" s="91">
        <f t="shared" si="14"/>
        <v>0</v>
      </c>
      <c r="Q74" s="91">
        <f t="shared" si="14"/>
        <v>0</v>
      </c>
      <c r="R74" s="91">
        <f t="shared" si="24"/>
        <v>0</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0</v>
      </c>
      <c r="E109" s="127">
        <f>SUM(E7:E103)</f>
        <v>18188994</v>
      </c>
      <c r="F109" s="127">
        <f>SUM(F7:F103)</f>
        <v>18188994</v>
      </c>
      <c r="G109" s="127">
        <f>SUM(G7:G103)</f>
        <v>1124099.5</v>
      </c>
      <c r="H109" s="127">
        <f>SUM(H7:H103)</f>
        <v>19313093.5</v>
      </c>
      <c r="I109" s="126"/>
      <c r="J109" s="126">
        <f>SUM(J7:J103)</f>
        <v>3812</v>
      </c>
      <c r="K109" s="102"/>
      <c r="N109" s="103">
        <f>SUM(N7:N103)</f>
        <v>0</v>
      </c>
      <c r="O109" s="104">
        <f t="shared" ref="O109:R109" si="29">SUM(O7:O103)</f>
        <v>0</v>
      </c>
      <c r="P109" s="104">
        <f t="shared" si="29"/>
        <v>9094497</v>
      </c>
      <c r="Q109" s="104">
        <f t="shared" si="29"/>
        <v>9094497</v>
      </c>
      <c r="R109" s="104">
        <f t="shared" si="29"/>
        <v>18188994</v>
      </c>
      <c r="S109" s="105"/>
      <c r="T109" s="104">
        <f>SUM(T7:T103)</f>
        <v>0</v>
      </c>
      <c r="U109" s="104">
        <f t="shared" ref="U109:X109" si="30">SUM(U7:U103)</f>
        <v>0</v>
      </c>
      <c r="V109" s="104">
        <f t="shared" si="30"/>
        <v>562049.75</v>
      </c>
      <c r="W109" s="104">
        <f t="shared" si="30"/>
        <v>562049.75</v>
      </c>
      <c r="X109" s="106">
        <f t="shared" si="30"/>
        <v>1124099.5</v>
      </c>
    </row>
  </sheetData>
  <sheetProtection algorithmName="SHA-512" hashValue="al3af2XtIQD9W5af2vjwXqgK/4sO+wGLzpjle0PqONDcIx2BklqELJM/hyzvXOXWT611dYxwByE4ItaCv3EAdQ==" saltValue="4qFlDssNhaB+4QCjYt0W0w==" spinCount="100000" sheet="1" objects="1" scenarios="1"/>
  <mergeCells count="5">
    <mergeCell ref="N1:X1"/>
    <mergeCell ref="T2:X2"/>
    <mergeCell ref="T3:X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4.4" x14ac:dyDescent="0.3"/>
  <cols>
    <col min="1" max="1" width="10.44140625" customWidth="1"/>
    <col min="2" max="2" width="18.5546875" customWidth="1"/>
    <col min="3" max="3" width="18.6640625" customWidth="1"/>
    <col min="4" max="4" width="50.6640625" customWidth="1"/>
    <col min="5" max="5" width="40.33203125" customWidth="1"/>
    <col min="7" max="7" width="34" customWidth="1"/>
    <col min="8" max="8" width="18.5546875" customWidth="1"/>
    <col min="9" max="9" width="26.33203125" style="261" customWidth="1"/>
    <col min="10" max="10" width="28.5546875" customWidth="1"/>
    <col min="11" max="11" width="23.33203125" style="261" customWidth="1"/>
    <col min="14" max="14" width="98.6640625" customWidth="1"/>
    <col min="15" max="15" width="19.6640625" customWidth="1"/>
  </cols>
  <sheetData>
    <row r="1" spans="1:15" ht="42.6" customHeight="1" x14ac:dyDescent="0.3">
      <c r="A1" s="250" t="s">
        <v>2</v>
      </c>
      <c r="B1" s="250" t="s">
        <v>304</v>
      </c>
      <c r="C1" s="250" t="s">
        <v>305</v>
      </c>
      <c r="D1" s="65" t="s">
        <v>306</v>
      </c>
      <c r="E1" s="65" t="s">
        <v>307</v>
      </c>
      <c r="G1" s="250" t="s">
        <v>308</v>
      </c>
      <c r="H1" s="250" t="s">
        <v>309</v>
      </c>
      <c r="I1" s="261" t="s">
        <v>310</v>
      </c>
      <c r="J1" s="250" t="s">
        <v>311</v>
      </c>
      <c r="K1" s="265" t="s">
        <v>312</v>
      </c>
      <c r="N1" s="54" t="s">
        <v>313</v>
      </c>
      <c r="O1" s="47" t="s">
        <v>314</v>
      </c>
    </row>
    <row r="2" spans="1:15" ht="43.2" x14ac:dyDescent="0.3">
      <c r="A2" t="s">
        <v>315</v>
      </c>
      <c r="B2" t="s">
        <v>30</v>
      </c>
      <c r="C2" t="s">
        <v>316</v>
      </c>
      <c r="D2" t="s">
        <v>317</v>
      </c>
      <c r="E2" t="s">
        <v>318</v>
      </c>
      <c r="F2" s="66">
        <v>1</v>
      </c>
      <c r="G2" t="s">
        <v>319</v>
      </c>
      <c r="H2" t="s">
        <v>320</v>
      </c>
      <c r="I2" s="261" t="s">
        <v>321</v>
      </c>
      <c r="J2" t="s">
        <v>322</v>
      </c>
      <c r="K2" s="261" t="s">
        <v>323</v>
      </c>
      <c r="N2" s="8" t="s">
        <v>324</v>
      </c>
      <c r="O2" s="48">
        <f>SUM('A-Contracts-Partnerships Matrix'!D109)</f>
        <v>0</v>
      </c>
    </row>
    <row r="3" spans="1:15" ht="43.2" x14ac:dyDescent="0.3">
      <c r="A3" t="s">
        <v>325</v>
      </c>
      <c r="B3" t="s">
        <v>326</v>
      </c>
      <c r="C3" t="s">
        <v>31</v>
      </c>
      <c r="D3" t="s">
        <v>327</v>
      </c>
      <c r="E3" t="s">
        <v>328</v>
      </c>
      <c r="F3" s="66">
        <v>0.5</v>
      </c>
      <c r="G3" t="s">
        <v>329</v>
      </c>
      <c r="H3" t="s">
        <v>330</v>
      </c>
      <c r="I3" s="261" t="s">
        <v>331</v>
      </c>
      <c r="J3" t="s">
        <v>332</v>
      </c>
      <c r="K3" s="261" t="s">
        <v>333</v>
      </c>
      <c r="N3" s="8" t="s">
        <v>334</v>
      </c>
      <c r="O3" s="49">
        <f>SUM('B - Operating Budget'!C15+'B - Operating Budget'!C18+'B - Operating Budget'!C23+'B - Operating Budget'!C27)-('B - Operating Budget'!B15+'B - Operating Budget'!B18+'B - Operating Budget'!B23+'B - Operating Budget'!B27)</f>
        <v>6276963</v>
      </c>
    </row>
    <row r="4" spans="1:15" ht="28.8" x14ac:dyDescent="0.3">
      <c r="A4" t="s">
        <v>335</v>
      </c>
      <c r="C4" t="s">
        <v>336</v>
      </c>
      <c r="D4" t="s">
        <v>337</v>
      </c>
      <c r="G4" t="s">
        <v>338</v>
      </c>
      <c r="H4" t="s">
        <v>339</v>
      </c>
      <c r="I4" s="261" t="s">
        <v>340</v>
      </c>
      <c r="J4" t="s">
        <v>341</v>
      </c>
      <c r="K4" s="261" t="s">
        <v>342</v>
      </c>
      <c r="N4" s="8" t="s">
        <v>343</v>
      </c>
      <c r="O4" s="48">
        <f>SUM('D- Optional-County Adm Budget'!D117)</f>
        <v>0</v>
      </c>
    </row>
    <row r="5" spans="1:15" ht="21.6" customHeight="1" thickBot="1" x14ac:dyDescent="0.35">
      <c r="A5" t="s">
        <v>344</v>
      </c>
      <c r="C5" t="s">
        <v>345</v>
      </c>
      <c r="D5" t="s">
        <v>346</v>
      </c>
      <c r="J5" t="s">
        <v>347</v>
      </c>
      <c r="K5" s="261" t="s">
        <v>348</v>
      </c>
      <c r="N5" s="8" t="s">
        <v>349</v>
      </c>
      <c r="O5" s="55">
        <f>SUM(O2:O4)</f>
        <v>6276963</v>
      </c>
    </row>
    <row r="6" spans="1:15" ht="18.600000000000001" customHeight="1" thickTop="1" x14ac:dyDescent="0.3">
      <c r="A6" t="s">
        <v>350</v>
      </c>
      <c r="C6" t="s">
        <v>351</v>
      </c>
      <c r="J6" t="s">
        <v>352</v>
      </c>
      <c r="K6" s="261" t="s">
        <v>353</v>
      </c>
      <c r="N6" s="46" t="s">
        <v>354</v>
      </c>
      <c r="O6" s="45"/>
    </row>
    <row r="7" spans="1:15" x14ac:dyDescent="0.3">
      <c r="A7" t="s">
        <v>3</v>
      </c>
      <c r="J7" t="s">
        <v>355</v>
      </c>
      <c r="K7" s="261" t="s">
        <v>356</v>
      </c>
      <c r="N7" s="8" t="s">
        <v>357</v>
      </c>
      <c r="O7" s="48">
        <f>SUM('A-Contracts-Partnerships Matrix'!N109+'A-Contracts-Partnerships Matrix'!P109)</f>
        <v>9094497</v>
      </c>
    </row>
    <row r="8" spans="1:15" ht="28.8" x14ac:dyDescent="0.3">
      <c r="J8" t="s">
        <v>358</v>
      </c>
      <c r="K8" s="261" t="s">
        <v>359</v>
      </c>
      <c r="N8" s="8" t="s">
        <v>360</v>
      </c>
      <c r="O8" s="49">
        <f>SUM('B - Operating Budget'!C15+'B - Operating Budget'!C18+'B - Operating Budget'!C23+'B - Operating Budget'!C27)-O3</f>
        <v>77220168</v>
      </c>
    </row>
    <row r="9" spans="1:15" x14ac:dyDescent="0.3">
      <c r="J9" t="s">
        <v>361</v>
      </c>
      <c r="N9" s="8" t="s">
        <v>362</v>
      </c>
      <c r="O9" s="48">
        <f>SUM('D- Optional-County Adm Budget'!E117)/2</f>
        <v>0</v>
      </c>
    </row>
    <row r="10" spans="1:15" x14ac:dyDescent="0.3">
      <c r="J10" t="s">
        <v>363</v>
      </c>
      <c r="N10" s="8" t="s">
        <v>364</v>
      </c>
      <c r="O10" s="48">
        <f>IF('C -Fund Sources &amp; Total FY Fund'!$E$9&gt;0,'C -Fund Sources &amp; Total FY Fund'!$E$9/2,0)</f>
        <v>0</v>
      </c>
    </row>
    <row r="11" spans="1:15" ht="15" thickBot="1" x14ac:dyDescent="0.35">
      <c r="J11" t="s">
        <v>365</v>
      </c>
      <c r="N11" s="8" t="s">
        <v>366</v>
      </c>
      <c r="O11" s="55">
        <f>SUM(O7:O10)</f>
        <v>86314665</v>
      </c>
    </row>
    <row r="12" spans="1:15" ht="15" thickTop="1" x14ac:dyDescent="0.3">
      <c r="N12" s="8"/>
      <c r="O12" s="45"/>
    </row>
    <row r="13" spans="1:15" x14ac:dyDescent="0.3">
      <c r="N13" s="50" t="s">
        <v>367</v>
      </c>
      <c r="O13" s="45"/>
    </row>
    <row r="14" spans="1:15" x14ac:dyDescent="0.3">
      <c r="N14" s="8" t="s">
        <v>368</v>
      </c>
      <c r="O14" s="48">
        <f>SUM('A-Contracts-Partnerships Matrix'!O109+'A-Contracts-Partnerships Matrix'!Q109)</f>
        <v>9094497</v>
      </c>
    </row>
    <row r="15" spans="1:15" x14ac:dyDescent="0.3">
      <c r="N15" s="8" t="s">
        <v>369</v>
      </c>
      <c r="O15" s="49">
        <f>SUM('B - Operating Budget'!B15+'B - Operating Budget'!B18+'B - Operating Budget'!B23+'B - Operating Budget'!B27)</f>
        <v>77220168</v>
      </c>
    </row>
    <row r="16" spans="1:15" x14ac:dyDescent="0.3">
      <c r="N16" s="8" t="s">
        <v>370</v>
      </c>
      <c r="O16" s="48">
        <f>SUM('D- Optional-County Adm Budget'!E117)/2</f>
        <v>0</v>
      </c>
    </row>
    <row r="17" spans="14:15" x14ac:dyDescent="0.3">
      <c r="N17" s="8" t="s">
        <v>364</v>
      </c>
      <c r="O17" s="48">
        <f>IF('C -Fund Sources &amp; Total FY Fund'!$E$9&gt;0,'C -Fund Sources &amp; Total FY Fund'!$E$9/2,0)</f>
        <v>0</v>
      </c>
    </row>
    <row r="18" spans="14:15" ht="15" thickBot="1" x14ac:dyDescent="0.35">
      <c r="N18" s="8" t="s">
        <v>371</v>
      </c>
      <c r="O18" s="55">
        <f>SUM(O14:O17)</f>
        <v>86314665</v>
      </c>
    </row>
    <row r="19" spans="14:15" ht="15.6" thickTop="1" thickBot="1" x14ac:dyDescent="0.35">
      <c r="N19" s="51" t="s">
        <v>372</v>
      </c>
      <c r="O19" s="52">
        <f>SUM(O5+O11+O18)</f>
        <v>178906293</v>
      </c>
    </row>
    <row r="20" spans="14:15" ht="15" thickBot="1" x14ac:dyDescent="0.35"/>
    <row r="21" spans="14:15" x14ac:dyDescent="0.3">
      <c r="N21" s="349" t="s">
        <v>373</v>
      </c>
      <c r="O21" s="350"/>
    </row>
    <row r="22" spans="14:15" x14ac:dyDescent="0.3">
      <c r="N22" s="351"/>
      <c r="O22" s="352"/>
    </row>
    <row r="23" spans="14:15" x14ac:dyDescent="0.3">
      <c r="N23" s="351"/>
      <c r="O23" s="352"/>
    </row>
    <row r="24" spans="14:15" x14ac:dyDescent="0.3">
      <c r="N24" s="351"/>
      <c r="O24" s="352"/>
    </row>
    <row r="25" spans="14:15" x14ac:dyDescent="0.3">
      <c r="N25" s="351"/>
      <c r="O25" s="352"/>
    </row>
    <row r="26" spans="14:15" x14ac:dyDescent="0.3">
      <c r="N26" s="351"/>
      <c r="O26" s="352"/>
    </row>
    <row r="27" spans="14:15" x14ac:dyDescent="0.3">
      <c r="N27" s="351"/>
      <c r="O27" s="352"/>
    </row>
    <row r="28" spans="14:15" x14ac:dyDescent="0.3">
      <c r="N28" s="351"/>
      <c r="O28" s="352"/>
    </row>
    <row r="29" spans="14:15" ht="15" thickBot="1" x14ac:dyDescent="0.35">
      <c r="N29" s="353"/>
      <c r="O29" s="354"/>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A2" sqref="A2"/>
    </sheetView>
  </sheetViews>
  <sheetFormatPr defaultColWidth="8.6640625" defaultRowHeight="13.8" x14ac:dyDescent="0.25"/>
  <cols>
    <col min="1" max="2" width="30.6640625" style="24" customWidth="1"/>
    <col min="3" max="3" width="25.6640625" style="24" customWidth="1"/>
    <col min="4" max="5" width="14.5546875" style="24" customWidth="1"/>
    <col min="6" max="7" width="30.6640625" style="24" customWidth="1"/>
    <col min="8" max="8" width="18.33203125" style="24" customWidth="1"/>
    <col min="9" max="9" width="15.88671875" style="24" customWidth="1"/>
    <col min="10" max="16384" width="8.6640625" style="24"/>
  </cols>
  <sheetData>
    <row r="1" spans="1:9" ht="34.5" customHeight="1" x14ac:dyDescent="0.25">
      <c r="A1" s="44" t="s">
        <v>0</v>
      </c>
      <c r="B1" s="39" t="str">
        <f>'A-Contracts-Partnerships Matrix'!B1</f>
        <v>NEW YORK</v>
      </c>
      <c r="C1" s="39"/>
      <c r="D1" s="39"/>
      <c r="E1" s="39"/>
      <c r="F1" s="39"/>
      <c r="G1" s="39"/>
      <c r="H1" s="40" t="s">
        <v>2</v>
      </c>
      <c r="I1" s="56" t="str">
        <f>'A-Contracts-Partnerships Matrix'!J1</f>
        <v>FY2025</v>
      </c>
    </row>
    <row r="2" spans="1:9" ht="15.6" x14ac:dyDescent="0.3">
      <c r="A2" s="361" t="s">
        <v>67</v>
      </c>
      <c r="B2" s="316"/>
      <c r="C2" s="316"/>
      <c r="D2" s="316"/>
      <c r="E2" s="316"/>
      <c r="F2" s="316"/>
      <c r="G2" s="316"/>
      <c r="H2" s="316"/>
      <c r="I2" s="317"/>
    </row>
    <row r="3" spans="1:9" ht="24.6" customHeight="1" x14ac:dyDescent="0.3">
      <c r="A3" s="358" t="s">
        <v>68</v>
      </c>
      <c r="B3" s="359"/>
      <c r="C3" s="359"/>
      <c r="D3" s="359"/>
      <c r="E3" s="359"/>
      <c r="F3" s="359"/>
      <c r="G3" s="359"/>
      <c r="H3" s="359"/>
      <c r="I3" s="360"/>
    </row>
    <row r="4" spans="1:9" ht="18" customHeight="1" x14ac:dyDescent="0.3">
      <c r="A4" s="306"/>
      <c r="B4" s="307"/>
      <c r="C4" s="307"/>
      <c r="D4" s="307"/>
      <c r="E4" s="307"/>
      <c r="F4" s="307"/>
      <c r="G4" s="307"/>
      <c r="H4" s="307"/>
      <c r="I4" s="308"/>
    </row>
    <row r="5" spans="1:9" ht="18" customHeight="1" x14ac:dyDescent="0.3">
      <c r="A5" s="193" t="s">
        <v>69</v>
      </c>
      <c r="B5" s="191"/>
      <c r="C5" s="191"/>
      <c r="D5" s="191"/>
      <c r="E5" s="191"/>
      <c r="F5" s="191"/>
      <c r="G5" s="191"/>
      <c r="H5" s="191"/>
      <c r="I5" s="192">
        <f>SUM(I8:I108)</f>
        <v>0</v>
      </c>
    </row>
    <row r="6" spans="1:9" ht="18" customHeight="1" x14ac:dyDescent="0.3">
      <c r="A6" s="306"/>
      <c r="B6" s="307"/>
      <c r="C6" s="307"/>
      <c r="D6" s="307"/>
      <c r="E6" s="307"/>
      <c r="F6" s="307"/>
      <c r="G6" s="307"/>
      <c r="H6" s="307"/>
      <c r="I6" s="308"/>
    </row>
    <row r="7" spans="1:9" s="73" customFormat="1" ht="41.4" x14ac:dyDescent="0.25">
      <c r="A7" s="117" t="s">
        <v>70</v>
      </c>
      <c r="B7" s="118" t="s">
        <v>71</v>
      </c>
      <c r="C7" s="118" t="s">
        <v>72</v>
      </c>
      <c r="D7" s="118" t="s">
        <v>73</v>
      </c>
      <c r="E7" s="118" t="s">
        <v>74</v>
      </c>
      <c r="F7" s="118" t="s">
        <v>75</v>
      </c>
      <c r="G7" s="118" t="s">
        <v>76</v>
      </c>
      <c r="H7" s="118" t="s">
        <v>77</v>
      </c>
      <c r="I7" s="119" t="s">
        <v>78</v>
      </c>
    </row>
    <row r="8" spans="1:9" x14ac:dyDescent="0.25">
      <c r="A8" s="108"/>
      <c r="B8" s="109"/>
      <c r="C8" s="109"/>
      <c r="D8" s="110"/>
      <c r="E8" s="110"/>
      <c r="F8" s="109"/>
      <c r="G8" s="109"/>
      <c r="H8" s="110"/>
      <c r="I8" s="111"/>
    </row>
    <row r="9" spans="1:9" x14ac:dyDescent="0.25">
      <c r="A9" s="108"/>
      <c r="B9" s="109"/>
      <c r="C9" s="109"/>
      <c r="D9" s="110"/>
      <c r="E9" s="110"/>
      <c r="F9" s="109"/>
      <c r="G9" s="109"/>
      <c r="H9" s="110"/>
      <c r="I9" s="111"/>
    </row>
    <row r="10" spans="1:9" ht="12.9" customHeight="1" x14ac:dyDescent="0.25">
      <c r="A10" s="108"/>
      <c r="B10" s="109"/>
      <c r="C10" s="109"/>
      <c r="D10" s="110"/>
      <c r="E10" s="110"/>
      <c r="F10" s="109"/>
      <c r="G10" s="109"/>
      <c r="H10" s="110"/>
      <c r="I10" s="111"/>
    </row>
    <row r="11" spans="1:9" x14ac:dyDescent="0.25">
      <c r="A11" s="108"/>
      <c r="B11" s="109"/>
      <c r="C11" s="109"/>
      <c r="D11" s="110"/>
      <c r="E11" s="110"/>
      <c r="F11" s="109"/>
      <c r="G11" s="109"/>
      <c r="H11" s="110"/>
      <c r="I11" s="111"/>
    </row>
    <row r="12" spans="1:9" x14ac:dyDescent="0.25">
      <c r="A12" s="108"/>
      <c r="B12" s="109"/>
      <c r="C12" s="109"/>
      <c r="D12" s="110"/>
      <c r="E12" s="110"/>
      <c r="F12" s="109"/>
      <c r="G12" s="109"/>
      <c r="H12" s="110"/>
      <c r="I12" s="111"/>
    </row>
    <row r="13" spans="1:9" x14ac:dyDescent="0.25">
      <c r="A13" s="108"/>
      <c r="B13" s="109"/>
      <c r="C13" s="109"/>
      <c r="D13" s="110"/>
      <c r="E13" s="110"/>
      <c r="F13" s="109"/>
      <c r="G13" s="109"/>
      <c r="H13" s="110"/>
      <c r="I13" s="111"/>
    </row>
    <row r="14" spans="1:9" x14ac:dyDescent="0.25">
      <c r="A14" s="108"/>
      <c r="B14" s="109"/>
      <c r="C14" s="109"/>
      <c r="D14" s="110"/>
      <c r="E14" s="110"/>
      <c r="F14" s="109"/>
      <c r="G14" s="109"/>
      <c r="H14" s="110"/>
      <c r="I14" s="111"/>
    </row>
    <row r="15" spans="1:9" x14ac:dyDescent="0.25">
      <c r="A15" s="108"/>
      <c r="B15" s="109"/>
      <c r="C15" s="109"/>
      <c r="D15" s="110"/>
      <c r="E15" s="110"/>
      <c r="F15" s="109"/>
      <c r="G15" s="109"/>
      <c r="H15" s="110"/>
      <c r="I15" s="111"/>
    </row>
    <row r="16" spans="1:9" x14ac:dyDescent="0.25">
      <c r="A16" s="108"/>
      <c r="B16" s="109"/>
      <c r="C16" s="109"/>
      <c r="D16" s="110"/>
      <c r="E16" s="110"/>
      <c r="F16" s="109"/>
      <c r="G16" s="109"/>
      <c r="H16" s="110"/>
      <c r="I16" s="111"/>
    </row>
    <row r="17" spans="1:9" x14ac:dyDescent="0.25">
      <c r="A17" s="108"/>
      <c r="B17" s="109"/>
      <c r="C17" s="109"/>
      <c r="D17" s="110"/>
      <c r="E17" s="110"/>
      <c r="F17" s="109"/>
      <c r="G17" s="109"/>
      <c r="H17" s="110"/>
      <c r="I17" s="111"/>
    </row>
    <row r="18" spans="1:9" x14ac:dyDescent="0.25">
      <c r="A18" s="108"/>
      <c r="B18" s="109"/>
      <c r="C18" s="109"/>
      <c r="D18" s="110"/>
      <c r="E18" s="110"/>
      <c r="F18" s="109"/>
      <c r="G18" s="109"/>
      <c r="H18" s="110"/>
      <c r="I18" s="111"/>
    </row>
    <row r="19" spans="1:9" x14ac:dyDescent="0.25">
      <c r="A19" s="108"/>
      <c r="B19" s="109"/>
      <c r="C19" s="109"/>
      <c r="D19" s="110"/>
      <c r="E19" s="110"/>
      <c r="F19" s="109"/>
      <c r="G19" s="109"/>
      <c r="H19" s="110"/>
      <c r="I19" s="111"/>
    </row>
    <row r="20" spans="1:9" x14ac:dyDescent="0.25">
      <c r="A20" s="108"/>
      <c r="B20" s="109"/>
      <c r="C20" s="109"/>
      <c r="D20" s="110"/>
      <c r="E20" s="110"/>
      <c r="F20" s="109"/>
      <c r="G20" s="109"/>
      <c r="H20" s="110"/>
      <c r="I20" s="111"/>
    </row>
    <row r="21" spans="1:9" x14ac:dyDescent="0.25">
      <c r="A21" s="108"/>
      <c r="B21" s="109"/>
      <c r="C21" s="109"/>
      <c r="D21" s="110"/>
      <c r="E21" s="110"/>
      <c r="F21" s="109"/>
      <c r="G21" s="109"/>
      <c r="H21" s="110"/>
      <c r="I21" s="111"/>
    </row>
    <row r="22" spans="1:9" x14ac:dyDescent="0.25">
      <c r="A22" s="108"/>
      <c r="B22" s="109"/>
      <c r="C22" s="109"/>
      <c r="D22" s="110"/>
      <c r="E22" s="110"/>
      <c r="F22" s="109"/>
      <c r="G22" s="109"/>
      <c r="H22" s="110"/>
      <c r="I22" s="111"/>
    </row>
    <row r="23" spans="1:9" x14ac:dyDescent="0.25">
      <c r="A23" s="108"/>
      <c r="B23" s="109"/>
      <c r="C23" s="109"/>
      <c r="D23" s="110"/>
      <c r="E23" s="110"/>
      <c r="F23" s="109"/>
      <c r="G23" s="109"/>
      <c r="H23" s="110"/>
      <c r="I23" s="111"/>
    </row>
    <row r="24" spans="1:9" x14ac:dyDescent="0.25">
      <c r="A24" s="108"/>
      <c r="B24" s="109"/>
      <c r="C24" s="109"/>
      <c r="D24" s="110"/>
      <c r="E24" s="110"/>
      <c r="F24" s="109"/>
      <c r="G24" s="109"/>
      <c r="H24" s="110"/>
      <c r="I24" s="111"/>
    </row>
    <row r="25" spans="1:9" x14ac:dyDescent="0.25">
      <c r="A25" s="108"/>
      <c r="B25" s="109"/>
      <c r="C25" s="109"/>
      <c r="D25" s="110"/>
      <c r="E25" s="110"/>
      <c r="F25" s="109"/>
      <c r="G25" s="109"/>
      <c r="H25" s="110"/>
      <c r="I25" s="111"/>
    </row>
    <row r="26" spans="1:9" x14ac:dyDescent="0.25">
      <c r="A26" s="108"/>
      <c r="B26" s="109"/>
      <c r="C26" s="109"/>
      <c r="D26" s="110"/>
      <c r="E26" s="110"/>
      <c r="F26" s="109"/>
      <c r="G26" s="109"/>
      <c r="H26" s="110"/>
      <c r="I26" s="111"/>
    </row>
    <row r="27" spans="1:9" x14ac:dyDescent="0.25">
      <c r="A27" s="108"/>
      <c r="B27" s="109"/>
      <c r="C27" s="109"/>
      <c r="D27" s="110"/>
      <c r="E27" s="110"/>
      <c r="F27" s="109"/>
      <c r="G27" s="109"/>
      <c r="H27" s="110"/>
      <c r="I27" s="111"/>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x14ac:dyDescent="0.25">
      <c r="A30" s="108"/>
      <c r="B30" s="109"/>
      <c r="C30" s="109"/>
      <c r="D30" s="110"/>
      <c r="E30" s="110"/>
      <c r="F30" s="109"/>
      <c r="G30" s="109"/>
      <c r="H30" s="110"/>
      <c r="I30" s="111"/>
    </row>
    <row r="31" spans="1:9" x14ac:dyDescent="0.25">
      <c r="A31" s="108"/>
      <c r="B31" s="109"/>
      <c r="C31" s="109"/>
      <c r="D31" s="110"/>
      <c r="E31" s="110"/>
      <c r="F31" s="109"/>
      <c r="G31" s="109"/>
      <c r="H31" s="110"/>
      <c r="I31" s="111"/>
    </row>
    <row r="32" spans="1:9" x14ac:dyDescent="0.25">
      <c r="A32" s="108"/>
      <c r="B32" s="109"/>
      <c r="C32" s="109"/>
      <c r="D32" s="110"/>
      <c r="E32" s="110"/>
      <c r="F32" s="109"/>
      <c r="G32" s="109"/>
      <c r="H32" s="110"/>
      <c r="I32" s="111"/>
    </row>
    <row r="33" spans="1:9" x14ac:dyDescent="0.25">
      <c r="A33" s="108"/>
      <c r="B33" s="109"/>
      <c r="C33" s="109"/>
      <c r="D33" s="110"/>
      <c r="E33" s="110"/>
      <c r="F33" s="109"/>
      <c r="G33" s="109"/>
      <c r="H33" s="110"/>
      <c r="I33" s="111"/>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4.4" thickBot="1" x14ac:dyDescent="0.3">
      <c r="A108" s="112"/>
      <c r="B108" s="113"/>
      <c r="C108" s="113"/>
      <c r="D108" s="114"/>
      <c r="E108" s="114"/>
      <c r="F108" s="113"/>
      <c r="G108" s="113"/>
      <c r="H108" s="114"/>
      <c r="I108" s="115"/>
    </row>
    <row r="113" spans="1:9" x14ac:dyDescent="0.25">
      <c r="A113" s="116" t="s">
        <v>79</v>
      </c>
      <c r="B113" s="116"/>
      <c r="C113" s="116"/>
      <c r="D113" s="116"/>
      <c r="E113" s="116"/>
      <c r="F113" s="116"/>
      <c r="G113" s="116"/>
      <c r="H113" s="116"/>
      <c r="I113" s="116">
        <f>SUM(I8:I108)</f>
        <v>0</v>
      </c>
    </row>
  </sheetData>
  <sheetProtection algorithmName="SHA-512" hashValue="dsKNCHRa5OSYIqOFU0qdZDZsYXi6y1vDo9EjDsJ5/zmPzRngaG6MjlP/KGO6WrHJJ/vmhEbj3sfo7VvZrbxsWQ==" saltValue="qPbhS9AgpSR/nFqGcUnupg==" spinCount="100000" sheet="1" objects="1" scenarios="1"/>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zoomScale="94" zoomScaleNormal="94" workbookViewId="0">
      <selection activeCell="A3" sqref="A3:D3"/>
    </sheetView>
  </sheetViews>
  <sheetFormatPr defaultColWidth="8.6640625" defaultRowHeight="13.8" x14ac:dyDescent="0.25"/>
  <cols>
    <col min="1" max="1" width="40.6640625" style="73" customWidth="1"/>
    <col min="2" max="4" width="20.6640625" style="24" customWidth="1"/>
    <col min="5" max="16384" width="8.6640625" style="24"/>
  </cols>
  <sheetData>
    <row r="1" spans="1:4" x14ac:dyDescent="0.25">
      <c r="A1" s="44" t="s">
        <v>0</v>
      </c>
      <c r="B1" s="39" t="str">
        <f>'A-Contracts-Partnerships Matrix'!B1</f>
        <v>NEW YORK</v>
      </c>
      <c r="C1" s="40" t="s">
        <v>2</v>
      </c>
      <c r="D1" s="56" t="str">
        <f>'A-Contracts-Partnerships Matrix'!J1</f>
        <v>FY2025</v>
      </c>
    </row>
    <row r="2" spans="1:4" ht="16.2" thickBot="1" x14ac:dyDescent="0.35">
      <c r="A2" s="318" t="s">
        <v>80</v>
      </c>
      <c r="B2" s="309"/>
      <c r="C2" s="309"/>
      <c r="D2" s="319"/>
    </row>
    <row r="3" spans="1:4" ht="18" customHeight="1" thickBot="1" x14ac:dyDescent="0.35">
      <c r="A3" s="362" t="s">
        <v>81</v>
      </c>
      <c r="B3" s="363"/>
      <c r="C3" s="363"/>
      <c r="D3" s="364"/>
    </row>
    <row r="4" spans="1:4" x14ac:dyDescent="0.25">
      <c r="A4" s="128" t="s">
        <v>82</v>
      </c>
      <c r="B4" s="129" t="s">
        <v>83</v>
      </c>
      <c r="C4" s="129" t="s">
        <v>84</v>
      </c>
      <c r="D4" s="130" t="s">
        <v>79</v>
      </c>
    </row>
    <row r="5" spans="1:4" x14ac:dyDescent="0.25">
      <c r="A5" s="131" t="s">
        <v>85</v>
      </c>
      <c r="B5" s="132"/>
      <c r="C5" s="132"/>
      <c r="D5" s="133"/>
    </row>
    <row r="6" spans="1:4" x14ac:dyDescent="0.25">
      <c r="A6" s="134" t="s">
        <v>86</v>
      </c>
      <c r="B6" s="135">
        <v>0</v>
      </c>
      <c r="C6" s="135">
        <v>0</v>
      </c>
      <c r="D6" s="136">
        <f>SUM(B6:C6)</f>
        <v>0</v>
      </c>
    </row>
    <row r="7" spans="1:4" ht="55.2" x14ac:dyDescent="0.25">
      <c r="A7" s="134" t="s">
        <v>87</v>
      </c>
      <c r="B7" s="137"/>
      <c r="C7" s="137"/>
      <c r="D7" s="138"/>
    </row>
    <row r="8" spans="1:4" x14ac:dyDescent="0.25">
      <c r="A8" s="139"/>
      <c r="B8" s="140">
        <f>ROUND(SUM(B6*$A$8),0)</f>
        <v>0</v>
      </c>
      <c r="C8" s="140">
        <f>ROUND(SUM(C6*$A$8),0)</f>
        <v>0</v>
      </c>
      <c r="D8" s="136">
        <f>ROUND(SUM(B8:C8),0)</f>
        <v>0</v>
      </c>
    </row>
    <row r="9" spans="1:4" x14ac:dyDescent="0.25">
      <c r="A9" s="141" t="s">
        <v>88</v>
      </c>
      <c r="B9" s="135"/>
      <c r="C9" s="135"/>
      <c r="D9" s="136">
        <f>ROUND(SUM(B9:C9),0)</f>
        <v>0</v>
      </c>
    </row>
    <row r="10" spans="1:4" x14ac:dyDescent="0.25">
      <c r="A10" s="142" t="s">
        <v>89</v>
      </c>
      <c r="B10" s="135"/>
      <c r="C10" s="135"/>
      <c r="D10" s="136">
        <f t="shared" ref="D10:D15" si="0">SUM(B10:C10)</f>
        <v>0</v>
      </c>
    </row>
    <row r="11" spans="1:4" x14ac:dyDescent="0.25">
      <c r="A11" s="142" t="s">
        <v>90</v>
      </c>
      <c r="B11" s="135"/>
      <c r="C11" s="135"/>
      <c r="D11" s="136">
        <f t="shared" si="0"/>
        <v>0</v>
      </c>
    </row>
    <row r="12" spans="1:4" x14ac:dyDescent="0.25">
      <c r="A12" s="142" t="s">
        <v>91</v>
      </c>
      <c r="B12" s="135">
        <v>0</v>
      </c>
      <c r="C12" s="135"/>
      <c r="D12" s="136">
        <f t="shared" si="0"/>
        <v>0</v>
      </c>
    </row>
    <row r="13" spans="1:4" x14ac:dyDescent="0.25">
      <c r="A13" s="142" t="s">
        <v>92</v>
      </c>
      <c r="B13" s="135">
        <v>0</v>
      </c>
      <c r="C13" s="135"/>
      <c r="D13" s="136">
        <f t="shared" si="0"/>
        <v>0</v>
      </c>
    </row>
    <row r="14" spans="1:4" x14ac:dyDescent="0.25">
      <c r="A14" s="142" t="s">
        <v>93</v>
      </c>
      <c r="B14" s="135"/>
      <c r="C14" s="135"/>
      <c r="D14" s="136">
        <f t="shared" si="0"/>
        <v>0</v>
      </c>
    </row>
    <row r="15" spans="1:4" x14ac:dyDescent="0.25">
      <c r="A15" s="143" t="s">
        <v>94</v>
      </c>
      <c r="B15" s="140">
        <f>SUM(B6:B14)</f>
        <v>0</v>
      </c>
      <c r="C15" s="140">
        <f>SUM(C6:C14)</f>
        <v>0</v>
      </c>
      <c r="D15" s="136">
        <f t="shared" si="0"/>
        <v>0</v>
      </c>
    </row>
    <row r="16" spans="1:4" ht="41.4" x14ac:dyDescent="0.25">
      <c r="A16" s="144" t="s">
        <v>95</v>
      </c>
      <c r="B16" s="140">
        <f>SUM('A-Contracts-Partnerships Matrix'!O109+'A-Contracts-Partnerships Matrix'!Q109)</f>
        <v>9094497</v>
      </c>
      <c r="C16" s="140">
        <f>SUM('A-Contracts-Partnerships Matrix'!N109+'A-Contracts-Partnerships Matrix'!P109)+'A-Contracts-Partnerships Matrix'!D109</f>
        <v>9094497</v>
      </c>
      <c r="D16" s="136">
        <f>SUM(B16:C16)</f>
        <v>18188994</v>
      </c>
    </row>
    <row r="17" spans="1:4" ht="41.4" x14ac:dyDescent="0.25">
      <c r="A17" s="144" t="s">
        <v>96</v>
      </c>
      <c r="B17" s="140">
        <f>SUM('D- Optional-County Adm Budget'!E117)/2</f>
        <v>0</v>
      </c>
      <c r="C17" s="140">
        <f>SUM('D- Optional-County Adm Budget'!E117)/2+'D- Optional-County Adm Budget'!D117</f>
        <v>0</v>
      </c>
      <c r="D17" s="136">
        <f>SUM(B17:C17)</f>
        <v>0</v>
      </c>
    </row>
    <row r="18" spans="1:4" ht="63.75" customHeight="1" x14ac:dyDescent="0.25">
      <c r="A18" s="134" t="s">
        <v>97</v>
      </c>
      <c r="B18" s="135">
        <v>56328505</v>
      </c>
      <c r="C18" s="135">
        <v>59196757</v>
      </c>
      <c r="D18" s="136">
        <f>SUM(B18:C18)</f>
        <v>115525262</v>
      </c>
    </row>
    <row r="19" spans="1:4" x14ac:dyDescent="0.25">
      <c r="A19" s="144" t="s">
        <v>98</v>
      </c>
      <c r="B19" s="140">
        <f>SUM(B15:B18)</f>
        <v>65423002</v>
      </c>
      <c r="C19" s="140">
        <f>SUM(C15:C18)</f>
        <v>68291254</v>
      </c>
      <c r="D19" s="136">
        <f>SUM(B19:C19)</f>
        <v>133714256</v>
      </c>
    </row>
    <row r="20" spans="1:4" x14ac:dyDescent="0.25">
      <c r="A20" s="145"/>
      <c r="B20" s="132"/>
      <c r="C20" s="132"/>
      <c r="D20" s="133"/>
    </row>
    <row r="21" spans="1:4" ht="55.2" x14ac:dyDescent="0.25">
      <c r="A21" s="131" t="s">
        <v>99</v>
      </c>
      <c r="B21" s="132"/>
      <c r="C21" s="132"/>
      <c r="D21" s="133"/>
    </row>
    <row r="22" spans="1:4" ht="27.6" x14ac:dyDescent="0.25">
      <c r="A22" s="145" t="s">
        <v>100</v>
      </c>
      <c r="B22" s="137"/>
      <c r="C22" s="137"/>
      <c r="D22" s="138"/>
    </row>
    <row r="23" spans="1:4" x14ac:dyDescent="0.25">
      <c r="A23" s="139"/>
      <c r="B23" s="140">
        <f>ROUND(SUM(B15*A23),0)</f>
        <v>0</v>
      </c>
      <c r="C23" s="140">
        <f>ROUND(SUM(C15*A23),0)</f>
        <v>0</v>
      </c>
      <c r="D23" s="136">
        <f>SUM(B23:C23)</f>
        <v>0</v>
      </c>
    </row>
    <row r="24" spans="1:4" x14ac:dyDescent="0.25">
      <c r="A24" s="146"/>
      <c r="B24" s="137"/>
      <c r="C24" s="137"/>
      <c r="D24" s="138"/>
    </row>
    <row r="25" spans="1:4" ht="27.6" x14ac:dyDescent="0.25">
      <c r="A25" s="139" t="s">
        <v>101</v>
      </c>
      <c r="B25" s="135">
        <v>4250000</v>
      </c>
      <c r="C25" s="135">
        <v>5750000</v>
      </c>
      <c r="D25" s="136">
        <f t="shared" ref="D25:D26" si="1">SUM(B25:C25)</f>
        <v>10000000</v>
      </c>
    </row>
    <row r="26" spans="1:4" ht="41.4" x14ac:dyDescent="0.25">
      <c r="A26" s="139" t="s">
        <v>102</v>
      </c>
      <c r="B26" s="135">
        <v>16641663</v>
      </c>
      <c r="C26" s="135">
        <v>18550374</v>
      </c>
      <c r="D26" s="136">
        <f t="shared" si="1"/>
        <v>35192037</v>
      </c>
    </row>
    <row r="27" spans="1:4" ht="27.6" x14ac:dyDescent="0.25">
      <c r="A27" s="139" t="s">
        <v>103</v>
      </c>
      <c r="B27" s="147">
        <f>SUM(B25:B26)</f>
        <v>20891663</v>
      </c>
      <c r="C27" s="147">
        <f>SUM(C25:C26)</f>
        <v>24300374</v>
      </c>
      <c r="D27" s="136">
        <f>SUM(B27:C27)</f>
        <v>45192037</v>
      </c>
    </row>
    <row r="28" spans="1:4" x14ac:dyDescent="0.25">
      <c r="A28" s="145"/>
      <c r="B28" s="132"/>
      <c r="C28" s="132"/>
      <c r="D28" s="133"/>
    </row>
    <row r="29" spans="1:4" x14ac:dyDescent="0.25">
      <c r="A29" s="131" t="s">
        <v>104</v>
      </c>
      <c r="B29" s="132"/>
      <c r="C29" s="132"/>
      <c r="D29" s="133"/>
    </row>
    <row r="30" spans="1:4" x14ac:dyDescent="0.25">
      <c r="A30" s="134" t="s">
        <v>105</v>
      </c>
      <c r="B30" s="135">
        <v>0</v>
      </c>
      <c r="C30" s="135">
        <v>0</v>
      </c>
      <c r="D30" s="136">
        <f>SUM(B30:C30)</f>
        <v>0</v>
      </c>
    </row>
    <row r="31" spans="1:4" x14ac:dyDescent="0.25">
      <c r="A31" s="145"/>
      <c r="B31" s="132"/>
      <c r="C31" s="132"/>
      <c r="D31" s="133"/>
    </row>
    <row r="32" spans="1:4" x14ac:dyDescent="0.25">
      <c r="A32" s="148" t="s">
        <v>106</v>
      </c>
      <c r="B32" s="140">
        <f>SUM(B19+B23+B27+B30)</f>
        <v>86314665</v>
      </c>
      <c r="C32" s="140">
        <f t="shared" ref="C32:D32" si="2">SUM(C19+C23+C27+C30)</f>
        <v>92591628</v>
      </c>
      <c r="D32" s="140">
        <f t="shared" si="2"/>
        <v>178906293</v>
      </c>
    </row>
    <row r="33" spans="1:13" x14ac:dyDescent="0.25">
      <c r="A33" s="145"/>
      <c r="B33" s="132"/>
      <c r="C33" s="132"/>
      <c r="D33" s="133"/>
    </row>
    <row r="34" spans="1:13" x14ac:dyDescent="0.25">
      <c r="A34" s="131" t="s">
        <v>107</v>
      </c>
      <c r="B34" s="132"/>
      <c r="C34" s="132"/>
      <c r="D34" s="133"/>
    </row>
    <row r="35" spans="1:13" ht="41.4" x14ac:dyDescent="0.25">
      <c r="A35" s="134" t="s">
        <v>108</v>
      </c>
      <c r="B35" s="135"/>
      <c r="C35" s="135"/>
      <c r="D35" s="136">
        <f>SUM(B35:C35)</f>
        <v>0</v>
      </c>
      <c r="E35" s="73"/>
      <c r="F35" s="73"/>
      <c r="G35" s="73"/>
      <c r="H35" s="73"/>
      <c r="I35" s="73"/>
      <c r="J35" s="73"/>
      <c r="K35" s="73"/>
      <c r="L35" s="73"/>
      <c r="M35" s="73"/>
    </row>
    <row r="36" spans="1:13" ht="41.4" x14ac:dyDescent="0.25">
      <c r="A36" s="134" t="s">
        <v>109</v>
      </c>
      <c r="B36" s="135">
        <v>9500000</v>
      </c>
      <c r="C36" s="135">
        <v>9500000</v>
      </c>
      <c r="D36" s="136">
        <f>SUM(B36:C36)</f>
        <v>19000000</v>
      </c>
      <c r="E36" s="73"/>
      <c r="F36" s="73"/>
      <c r="G36" s="73"/>
      <c r="H36" s="73"/>
      <c r="I36" s="73"/>
      <c r="J36" s="73"/>
      <c r="K36" s="73"/>
      <c r="L36" s="73"/>
      <c r="M36" s="73"/>
    </row>
    <row r="37" spans="1:13" x14ac:dyDescent="0.25">
      <c r="A37" s="134" t="s">
        <v>110</v>
      </c>
      <c r="B37" s="135">
        <v>0</v>
      </c>
      <c r="C37" s="149"/>
      <c r="D37" s="136">
        <f>SUM(B37:C37)</f>
        <v>0</v>
      </c>
    </row>
    <row r="38" spans="1:13" x14ac:dyDescent="0.25">
      <c r="A38" s="144" t="s">
        <v>111</v>
      </c>
      <c r="B38" s="140">
        <f>SUM(B35:B37)</f>
        <v>9500000</v>
      </c>
      <c r="C38" s="140">
        <f>SUM(C35:C36)</f>
        <v>9500000</v>
      </c>
      <c r="D38" s="136">
        <f>SUM(B38:C38)</f>
        <v>19000000</v>
      </c>
    </row>
    <row r="39" spans="1:13" x14ac:dyDescent="0.25">
      <c r="A39" s="145"/>
      <c r="B39" s="132"/>
      <c r="C39" s="132"/>
      <c r="D39" s="133"/>
    </row>
    <row r="40" spans="1:13" ht="14.4" thickBot="1" x14ac:dyDescent="0.3">
      <c r="A40" s="150" t="s">
        <v>112</v>
      </c>
      <c r="B40" s="151">
        <f>SUM(B32+B38)</f>
        <v>95814665</v>
      </c>
      <c r="C40" s="151">
        <f>SUM(C32+C38)</f>
        <v>102091628</v>
      </c>
      <c r="D40" s="152">
        <f>SUM(B40:C40)</f>
        <v>197906293</v>
      </c>
    </row>
  </sheetData>
  <sheetProtection algorithmName="SHA-512" hashValue="RbMRtM9nEc0xEF/7eYFrByfWh0lJ0UNTfTLV0MZiFiiLq3uiWwDusnSm6vogY4YkIuNELrxx2FDyJv4+FEYULw==" saltValue="nR0oeEGxKw8h1cdW8oY+Kg==" spinCount="100000" sheet="1" objects="1" scenarios="1"/>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election activeCell="A2" sqref="A2"/>
    </sheetView>
  </sheetViews>
  <sheetFormatPr defaultRowHeight="14.4" x14ac:dyDescent="0.3"/>
  <cols>
    <col min="1" max="1" width="12.6640625" customWidth="1"/>
    <col min="2" max="2" width="42.33203125" customWidth="1"/>
    <col min="3" max="6" width="20.6640625" customWidth="1"/>
    <col min="9" max="9" width="14.33203125" bestFit="1" customWidth="1"/>
    <col min="14" max="14" width="98.33203125" customWidth="1"/>
    <col min="15" max="15" width="19.109375" customWidth="1"/>
    <col min="16" max="16" width="4.6640625" customWidth="1"/>
    <col min="17" max="17" width="14.6640625" customWidth="1"/>
  </cols>
  <sheetData>
    <row r="1" spans="1:17" ht="55.8" x14ac:dyDescent="0.3">
      <c r="A1" s="38" t="s">
        <v>0</v>
      </c>
      <c r="B1" s="39" t="str">
        <f>'A-Contracts-Partnerships Matrix'!B1</f>
        <v>NEW YORK</v>
      </c>
      <c r="D1" s="39"/>
      <c r="E1" s="40" t="s">
        <v>2</v>
      </c>
      <c r="F1" s="56" t="str">
        <f>'A-Contracts-Partnerships Matrix'!J1</f>
        <v>FY2025</v>
      </c>
      <c r="N1" s="340"/>
      <c r="O1" s="340"/>
    </row>
    <row r="2" spans="1:17" ht="15.6" x14ac:dyDescent="0.3">
      <c r="A2" s="368" t="s">
        <v>113</v>
      </c>
      <c r="B2" s="315"/>
      <c r="C2" s="315"/>
      <c r="D2" s="315"/>
      <c r="E2" s="315"/>
      <c r="F2" s="320"/>
      <c r="N2" s="340"/>
      <c r="O2" s="340"/>
    </row>
    <row r="3" spans="1:17" ht="22.2" customHeight="1" thickBot="1" x14ac:dyDescent="0.35">
      <c r="A3" s="365" t="s">
        <v>114</v>
      </c>
      <c r="B3" s="366"/>
      <c r="C3" s="366"/>
      <c r="D3" s="366"/>
      <c r="E3" s="366"/>
      <c r="F3" s="367"/>
      <c r="N3" s="339"/>
      <c r="O3" s="339"/>
    </row>
    <row r="4" spans="1:17" ht="62.4" x14ac:dyDescent="0.3">
      <c r="A4" s="27" t="s">
        <v>115</v>
      </c>
      <c r="B4" s="28" t="s">
        <v>116</v>
      </c>
      <c r="C4" s="26" t="s">
        <v>117</v>
      </c>
      <c r="D4" s="29" t="s">
        <v>118</v>
      </c>
      <c r="E4" s="29" t="s">
        <v>119</v>
      </c>
      <c r="F4" s="30" t="s">
        <v>120</v>
      </c>
      <c r="N4" s="265"/>
      <c r="O4" s="287"/>
    </row>
    <row r="5" spans="1:17" ht="15.6" x14ac:dyDescent="0.3">
      <c r="A5" s="22" t="s">
        <v>121</v>
      </c>
      <c r="B5" s="12" t="s">
        <v>122</v>
      </c>
      <c r="C5" s="17">
        <f>VLOOKUP(B1,'FY25 Final Allocations 5-10-24'!1:1048576,2,FALSE)</f>
        <v>6276963</v>
      </c>
      <c r="D5" s="17">
        <f>IF(lookups!O5&gt;C5,C5,lookups!O5)</f>
        <v>6276963</v>
      </c>
      <c r="E5" s="17">
        <f>SUM(D5-C5)</f>
        <v>0</v>
      </c>
      <c r="F5" s="20">
        <f>SUM(D5/C5)</f>
        <v>1</v>
      </c>
      <c r="I5" s="25"/>
      <c r="O5" s="288"/>
    </row>
    <row r="6" spans="1:17" ht="15.6" x14ac:dyDescent="0.3">
      <c r="A6" s="22" t="s">
        <v>121</v>
      </c>
      <c r="B6" s="23" t="s">
        <v>123</v>
      </c>
      <c r="C6" s="31"/>
      <c r="D6" s="53">
        <f>IF(lookups!O5-D5&gt;C6,C6,lookups!O5-D5)</f>
        <v>0</v>
      </c>
      <c r="E6" s="17">
        <f t="shared" ref="E6:E7" si="0">SUM(D6-C6)</f>
        <v>0</v>
      </c>
      <c r="F6" s="11"/>
      <c r="O6" s="289"/>
    </row>
    <row r="7" spans="1:17" ht="15.6" x14ac:dyDescent="0.3">
      <c r="A7" s="22" t="s">
        <v>121</v>
      </c>
      <c r="B7" s="12" t="s">
        <v>124</v>
      </c>
      <c r="C7" s="17">
        <f>VLOOKUP(B1,'FY25 Final Allocations 5-10-24'!1:1048576,4,FALSE)</f>
        <v>0</v>
      </c>
      <c r="D7" s="53">
        <f>IF(lookups!O5-D6-D5&gt;C7,C7,lookups!O5-D5-D6)</f>
        <v>0</v>
      </c>
      <c r="E7" s="17">
        <f t="shared" si="0"/>
        <v>0</v>
      </c>
      <c r="F7" s="11"/>
      <c r="O7" s="288"/>
    </row>
    <row r="8" spans="1:17" ht="15.6" x14ac:dyDescent="0.3">
      <c r="A8" s="5"/>
      <c r="B8" s="12"/>
      <c r="C8" s="280"/>
      <c r="D8" s="280"/>
      <c r="E8" s="280"/>
      <c r="F8" s="11"/>
      <c r="O8" s="289"/>
    </row>
    <row r="9" spans="1:17" ht="15.6" x14ac:dyDescent="0.3">
      <c r="A9" s="22" t="s">
        <v>121</v>
      </c>
      <c r="B9" s="12" t="s">
        <v>125</v>
      </c>
      <c r="C9" s="17">
        <f>SUM(C5:C7)</f>
        <v>6276963</v>
      </c>
      <c r="D9" s="17">
        <f>SUM(D5:D7)</f>
        <v>6276963</v>
      </c>
      <c r="E9" s="17">
        <f>SUM(lookups!O5-C9)</f>
        <v>0</v>
      </c>
      <c r="F9" s="20"/>
      <c r="I9" s="25"/>
      <c r="N9" s="250"/>
    </row>
    <row r="10" spans="1:17" ht="15.6" x14ac:dyDescent="0.3">
      <c r="A10" s="22" t="s">
        <v>121</v>
      </c>
      <c r="B10" s="12" t="s">
        <v>126</v>
      </c>
      <c r="C10" s="2"/>
      <c r="D10" s="32">
        <f>SUM(lookups!O11)</f>
        <v>86314665</v>
      </c>
      <c r="E10" s="4"/>
      <c r="F10" s="7"/>
      <c r="I10" s="25"/>
      <c r="O10" s="288"/>
    </row>
    <row r="11" spans="1:17" ht="15.6" x14ac:dyDescent="0.3">
      <c r="A11" s="22" t="s">
        <v>127</v>
      </c>
      <c r="B11" s="12" t="s">
        <v>126</v>
      </c>
      <c r="C11" s="2"/>
      <c r="D11" s="17">
        <f>SUM(lookups!O18)</f>
        <v>86314665</v>
      </c>
      <c r="E11" s="4"/>
      <c r="F11" s="7"/>
      <c r="O11" s="289"/>
    </row>
    <row r="12" spans="1:17" ht="15.6" x14ac:dyDescent="0.3">
      <c r="A12" s="22" t="s">
        <v>121</v>
      </c>
      <c r="B12" s="12" t="s">
        <v>128</v>
      </c>
      <c r="C12" s="2"/>
      <c r="D12" s="32">
        <f>SUM('B - Operating Budget'!C38)</f>
        <v>9500000</v>
      </c>
      <c r="E12" s="4"/>
      <c r="F12" s="7"/>
      <c r="O12" s="288"/>
      <c r="Q12" s="25"/>
    </row>
    <row r="13" spans="1:17" ht="15.6" x14ac:dyDescent="0.3">
      <c r="A13" s="22" t="s">
        <v>127</v>
      </c>
      <c r="B13" s="12" t="s">
        <v>128</v>
      </c>
      <c r="C13" s="2"/>
      <c r="D13" s="17">
        <f>SUM('B - Operating Budget'!B38)</f>
        <v>9500000</v>
      </c>
      <c r="E13" s="4"/>
      <c r="F13" s="7"/>
      <c r="I13" s="25"/>
      <c r="O13" s="288"/>
    </row>
    <row r="14" spans="1:17" ht="15.6" x14ac:dyDescent="0.3">
      <c r="A14" s="22" t="s">
        <v>121</v>
      </c>
      <c r="B14" s="12" t="s">
        <v>129</v>
      </c>
      <c r="C14" s="17">
        <f>VLOOKUP(B1,'FY25 Final Allocations 5-10-24'!1:1048576,3,FALSE)</f>
        <v>95814665</v>
      </c>
      <c r="D14" s="17">
        <f>SUM(D10+D12)</f>
        <v>95814665</v>
      </c>
      <c r="E14" s="17">
        <f>SUM(D14-C14)</f>
        <v>0</v>
      </c>
      <c r="F14" s="11"/>
      <c r="O14" s="289"/>
    </row>
    <row r="15" spans="1:17" ht="15.6" x14ac:dyDescent="0.3">
      <c r="A15" s="22" t="s">
        <v>130</v>
      </c>
      <c r="B15" s="13"/>
      <c r="C15" s="1"/>
      <c r="D15" s="1"/>
      <c r="E15" s="1"/>
      <c r="F15" s="3"/>
    </row>
    <row r="16" spans="1:17" ht="16.2" thickBot="1" x14ac:dyDescent="0.35">
      <c r="A16" s="41"/>
      <c r="B16" s="14" t="s">
        <v>79</v>
      </c>
      <c r="C16" s="19">
        <f>SUM(C9+C14)</f>
        <v>102091628</v>
      </c>
      <c r="D16" s="19">
        <f>SUM(D9:D13)</f>
        <v>197906293</v>
      </c>
      <c r="E16" s="9"/>
      <c r="F16" s="10"/>
      <c r="N16" s="250"/>
    </row>
    <row r="17" spans="1:15" x14ac:dyDescent="0.3">
      <c r="A17" s="24"/>
      <c r="B17" s="24"/>
      <c r="C17" s="24"/>
      <c r="D17" s="24"/>
      <c r="E17" s="24"/>
      <c r="F17" s="24"/>
      <c r="O17" s="288"/>
    </row>
    <row r="18" spans="1:15" x14ac:dyDescent="0.3">
      <c r="A18" s="24"/>
      <c r="B18" s="24"/>
      <c r="C18" s="24"/>
      <c r="D18" s="24"/>
      <c r="E18" s="24"/>
      <c r="F18" s="24"/>
      <c r="O18" s="289"/>
    </row>
    <row r="19" spans="1:15" ht="15" thickBot="1" x14ac:dyDescent="0.35">
      <c r="A19" s="24"/>
      <c r="B19" s="24"/>
      <c r="C19" s="24"/>
      <c r="D19" s="24"/>
      <c r="E19" s="24"/>
      <c r="F19" s="24"/>
      <c r="O19" s="288"/>
    </row>
    <row r="20" spans="1:15" ht="15.6" x14ac:dyDescent="0.3">
      <c r="A20" s="24"/>
      <c r="B20" s="336" t="s">
        <v>131</v>
      </c>
      <c r="C20" s="337"/>
      <c r="D20" s="337"/>
      <c r="E20" s="338"/>
      <c r="F20" s="33"/>
      <c r="O20" s="288"/>
    </row>
    <row r="21" spans="1:15" x14ac:dyDescent="0.3">
      <c r="A21" s="24"/>
      <c r="B21" s="42"/>
      <c r="C21" s="24"/>
      <c r="D21" s="24"/>
      <c r="E21" s="43"/>
      <c r="F21" s="24"/>
      <c r="O21" s="289"/>
    </row>
    <row r="22" spans="1:15" ht="22.2" customHeight="1" x14ac:dyDescent="0.3">
      <c r="A22" s="24"/>
      <c r="B22" s="36" t="s">
        <v>116</v>
      </c>
      <c r="C22" s="15" t="s">
        <v>83</v>
      </c>
      <c r="D22" s="15" t="s">
        <v>84</v>
      </c>
      <c r="E22" s="37" t="s">
        <v>79</v>
      </c>
      <c r="F22" s="309"/>
      <c r="O22" s="289"/>
    </row>
    <row r="23" spans="1:15" ht="15.6" x14ac:dyDescent="0.3">
      <c r="A23" s="24"/>
      <c r="B23" s="5" t="s">
        <v>122</v>
      </c>
      <c r="C23" s="4"/>
      <c r="D23" s="17">
        <f>SUM(D5+D6)</f>
        <v>6276963</v>
      </c>
      <c r="E23" s="18">
        <f t="shared" ref="E23:E30" si="1">SUM(C23:D23)</f>
        <v>6276963</v>
      </c>
      <c r="F23" s="34"/>
    </row>
    <row r="24" spans="1:15" ht="15.6" x14ac:dyDescent="0.3">
      <c r="A24" s="24"/>
      <c r="B24" s="5" t="s">
        <v>124</v>
      </c>
      <c r="C24" s="4"/>
      <c r="D24" s="17">
        <f>SUM(D7)</f>
        <v>0</v>
      </c>
      <c r="E24" s="18">
        <f t="shared" si="1"/>
        <v>0</v>
      </c>
      <c r="F24" s="34"/>
      <c r="N24" s="335"/>
      <c r="O24" s="335"/>
    </row>
    <row r="25" spans="1:15" ht="15.75" customHeight="1" x14ac:dyDescent="0.3">
      <c r="A25" s="24"/>
      <c r="B25" s="5"/>
      <c r="C25" s="4"/>
      <c r="D25" s="290"/>
      <c r="E25" s="291"/>
      <c r="F25" s="34"/>
      <c r="N25" s="335"/>
      <c r="O25" s="335"/>
    </row>
    <row r="26" spans="1:15" ht="16.2" thickBot="1" x14ac:dyDescent="0.35">
      <c r="A26" s="24"/>
      <c r="B26" s="5" t="s">
        <v>126</v>
      </c>
      <c r="C26" s="19">
        <f>SUM(D11)</f>
        <v>86314665</v>
      </c>
      <c r="D26" s="19">
        <f>SUM(D10)</f>
        <v>86314665</v>
      </c>
      <c r="E26" s="21">
        <f t="shared" si="1"/>
        <v>172629330</v>
      </c>
      <c r="F26" s="35"/>
      <c r="N26" s="335"/>
      <c r="O26" s="335"/>
    </row>
    <row r="27" spans="1:15" ht="15.6" x14ac:dyDescent="0.3">
      <c r="A27" s="24"/>
      <c r="B27" s="5" t="s">
        <v>132</v>
      </c>
      <c r="C27" s="281">
        <f>SUM('B - Operating Budget'!B35)</f>
        <v>0</v>
      </c>
      <c r="D27" s="281">
        <f>SUM('B - Operating Budget'!C35)</f>
        <v>0</v>
      </c>
      <c r="E27" s="282"/>
      <c r="F27" s="35"/>
      <c r="N27" s="335"/>
      <c r="O27" s="335"/>
    </row>
    <row r="28" spans="1:15" ht="16.2" thickBot="1" x14ac:dyDescent="0.35">
      <c r="A28" s="24"/>
      <c r="B28" s="5" t="s">
        <v>133</v>
      </c>
      <c r="C28" s="19">
        <f>SUM('B - Operating Budget'!B36)</f>
        <v>9500000</v>
      </c>
      <c r="D28" s="19">
        <f>SUM('B - Operating Budget'!C36)</f>
        <v>9500000</v>
      </c>
      <c r="E28" s="21"/>
      <c r="F28" s="35"/>
      <c r="N28" s="335"/>
      <c r="O28" s="335"/>
    </row>
    <row r="29" spans="1:15" ht="15.6" x14ac:dyDescent="0.3">
      <c r="A29" s="24"/>
      <c r="B29" s="5" t="s">
        <v>134</v>
      </c>
      <c r="C29" s="281">
        <f>SUM(D13)</f>
        <v>9500000</v>
      </c>
      <c r="D29" s="281">
        <f>SUM(D12)</f>
        <v>9500000</v>
      </c>
      <c r="E29" s="282">
        <f t="shared" si="1"/>
        <v>19000000</v>
      </c>
      <c r="F29" s="35"/>
      <c r="N29" s="335"/>
      <c r="O29" s="335"/>
    </row>
    <row r="30" spans="1:15" ht="16.2" thickBot="1" x14ac:dyDescent="0.35">
      <c r="A30" s="24"/>
      <c r="B30" s="5" t="s">
        <v>135</v>
      </c>
      <c r="C30" s="285">
        <f>SUM(C26+C29)</f>
        <v>95814665</v>
      </c>
      <c r="D30" s="285">
        <f>SUM(D26+D29)</f>
        <v>95814665</v>
      </c>
      <c r="E30" s="286">
        <f t="shared" si="1"/>
        <v>191629330</v>
      </c>
      <c r="F30" s="34"/>
      <c r="N30" s="335"/>
      <c r="O30" s="335"/>
    </row>
    <row r="31" spans="1:15" ht="16.2" thickTop="1" x14ac:dyDescent="0.3">
      <c r="A31" s="24"/>
      <c r="B31" s="5"/>
      <c r="C31" s="283"/>
      <c r="D31" s="283"/>
      <c r="E31" s="284"/>
      <c r="F31" s="35"/>
      <c r="N31" s="335"/>
      <c r="O31" s="335"/>
    </row>
    <row r="32" spans="1:15" ht="16.2" thickBot="1" x14ac:dyDescent="0.35">
      <c r="A32" s="24"/>
      <c r="B32" s="6" t="s">
        <v>79</v>
      </c>
      <c r="C32" s="19">
        <f>SUM(C30)</f>
        <v>95814665</v>
      </c>
      <c r="D32" s="19">
        <f>SUM(D23:D25)+D30</f>
        <v>102091628</v>
      </c>
      <c r="E32" s="21">
        <f>SUM(C32+D32)</f>
        <v>197906293</v>
      </c>
      <c r="F32" s="35"/>
      <c r="N32" s="335"/>
      <c r="O32" s="335"/>
    </row>
    <row r="33" spans="14:15" x14ac:dyDescent="0.3">
      <c r="N33" s="335"/>
      <c r="O33" s="335"/>
    </row>
    <row r="34" spans="14:15" x14ac:dyDescent="0.3">
      <c r="N34" s="335"/>
      <c r="O34" s="335"/>
    </row>
    <row r="42" spans="14:15" x14ac:dyDescent="0.3">
      <c r="N42" s="25"/>
    </row>
  </sheetData>
  <sheetProtection algorithmName="SHA-512" hashValue="iArYLM4ISoRmgMlf2+dApHZqndS9LdSgX+vb0XZZIF+n7TzKlAtJV8t5Fd2KOF7Lo8VXyV4jJlkVkQK5E5Mm8A==" saltValue="/WsPUMHZ/AzHg8UhlKI/QQ==" spinCount="100000" sheet="1" objects="1" scenarios="1"/>
  <mergeCells count="4">
    <mergeCell ref="N24:O34"/>
    <mergeCell ref="B20:E20"/>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A3" sqref="A3"/>
    </sheetView>
  </sheetViews>
  <sheetFormatPr defaultColWidth="8.6640625" defaultRowHeight="13.8" x14ac:dyDescent="0.25"/>
  <cols>
    <col min="1" max="1" width="28.44140625" style="24" customWidth="1"/>
    <col min="2" max="2" width="14.44140625" style="107" customWidth="1"/>
    <col min="3" max="3" width="23.5546875" style="24" customWidth="1"/>
    <col min="4" max="7" width="16.88671875" style="24" customWidth="1"/>
    <col min="8" max="16384" width="8.6640625" style="24"/>
  </cols>
  <sheetData>
    <row r="1" spans="1:16" ht="27.6" x14ac:dyDescent="0.25">
      <c r="A1" s="44" t="s">
        <v>0</v>
      </c>
      <c r="B1" s="312" t="str">
        <f>'A-Contracts-Partnerships Matrix'!B1</f>
        <v>NEW YORK</v>
      </c>
      <c r="C1" s="39"/>
      <c r="D1" s="39"/>
      <c r="E1" s="39"/>
      <c r="F1" s="40" t="s">
        <v>2</v>
      </c>
      <c r="G1" s="56" t="str">
        <f>'A-Contracts-Partnerships Matrix'!J1</f>
        <v>FY2025</v>
      </c>
    </row>
    <row r="2" spans="1:16" ht="16.2" thickBot="1" x14ac:dyDescent="0.35">
      <c r="A2" s="314" t="s">
        <v>136</v>
      </c>
      <c r="B2" s="315"/>
      <c r="C2" s="315"/>
      <c r="D2" s="315"/>
      <c r="E2" s="315"/>
      <c r="F2" s="315"/>
      <c r="G2" s="320"/>
    </row>
    <row r="3" spans="1:16" ht="13.8" customHeight="1" x14ac:dyDescent="0.25">
      <c r="A3" s="369" t="s">
        <v>137</v>
      </c>
      <c r="B3" s="321"/>
      <c r="C3" s="321"/>
      <c r="D3" s="321"/>
      <c r="E3" s="321"/>
      <c r="F3" s="321"/>
      <c r="G3" s="322"/>
    </row>
    <row r="4" spans="1:16" ht="19.8" customHeight="1" x14ac:dyDescent="0.3">
      <c r="A4" s="355" t="s">
        <v>138</v>
      </c>
      <c r="B4" s="356"/>
      <c r="C4" s="356"/>
      <c r="D4" s="356"/>
      <c r="E4" s="356"/>
      <c r="F4" s="356"/>
      <c r="G4" s="357"/>
    </row>
    <row r="5" spans="1:16" ht="18" customHeight="1" thickBot="1" x14ac:dyDescent="0.35">
      <c r="A5" s="303"/>
      <c r="B5" s="304"/>
      <c r="C5" s="304"/>
      <c r="D5" s="304"/>
      <c r="E5" s="304"/>
      <c r="F5" s="304"/>
      <c r="G5" s="305"/>
    </row>
    <row r="6" spans="1:16" ht="18" customHeight="1" thickBot="1" x14ac:dyDescent="0.35">
      <c r="A6" s="248" t="s">
        <v>69</v>
      </c>
      <c r="B6" s="157">
        <f>COUNT(B9:B107)+COUNTIF(B9:B107,"X")</f>
        <v>0</v>
      </c>
      <c r="C6" s="186"/>
      <c r="D6" s="249">
        <f t="shared" ref="D6:F6" si="0">SUM(D9:D107)</f>
        <v>0</v>
      </c>
      <c r="E6" s="249">
        <f t="shared" si="0"/>
        <v>0</v>
      </c>
      <c r="F6" s="249">
        <f t="shared" si="0"/>
        <v>0</v>
      </c>
      <c r="G6" s="249">
        <f>SUM(G9:G107)</f>
        <v>0</v>
      </c>
    </row>
    <row r="7" spans="1:16" ht="18" customHeight="1" x14ac:dyDescent="0.3">
      <c r="A7" s="303"/>
      <c r="B7" s="304"/>
      <c r="C7" s="304"/>
      <c r="D7" s="304"/>
      <c r="E7" s="304"/>
      <c r="F7" s="304"/>
      <c r="G7" s="305"/>
    </row>
    <row r="8" spans="1:16" ht="55.2" x14ac:dyDescent="0.25">
      <c r="A8" s="153" t="s">
        <v>139</v>
      </c>
      <c r="B8" s="154" t="s">
        <v>140</v>
      </c>
      <c r="C8" s="154" t="s">
        <v>141</v>
      </c>
      <c r="D8" s="154" t="s">
        <v>142</v>
      </c>
      <c r="E8" s="154" t="s">
        <v>143</v>
      </c>
      <c r="F8" s="154" t="s">
        <v>144</v>
      </c>
      <c r="G8" s="155" t="s">
        <v>145</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4.4" thickBot="1" x14ac:dyDescent="0.3"/>
    <row r="117" spans="1:7" ht="14.4" thickBot="1" x14ac:dyDescent="0.3">
      <c r="A117" s="156" t="s">
        <v>69</v>
      </c>
      <c r="B117" s="157">
        <f>COUNT(B9:B107)+COUNTIF(B9:B107,"X")</f>
        <v>0</v>
      </c>
      <c r="C117" s="158"/>
      <c r="D117" s="159">
        <f>SUM(D9:D107)</f>
        <v>0</v>
      </c>
      <c r="E117" s="159">
        <f>SUM(E9:E107)</f>
        <v>0</v>
      </c>
      <c r="F117" s="159">
        <f>SUM(F9:F107)</f>
        <v>0</v>
      </c>
      <c r="G117" s="159">
        <f>SUM(G9:G107)</f>
        <v>0</v>
      </c>
    </row>
  </sheetData>
  <sheetProtection algorithmName="SHA-512" hashValue="U+aPwzCEC2B6GA4ZNTPoOUnE70IVci6n2T23h8FnsLgBXATLco9TspMDrDcNHMmBIkP2LUtce36LrsCZpIeLFA==" saltValue="BkClsRb9qaHJysMC3Y3/BQ==" spinCount="100000" sheet="1" objects="1" scenarios="1"/>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workbookViewId="0">
      <selection activeCell="A3" sqref="A3:Z3"/>
    </sheetView>
  </sheetViews>
  <sheetFormatPr defaultColWidth="8.6640625" defaultRowHeight="13.8" x14ac:dyDescent="0.25"/>
  <cols>
    <col min="1" max="1" width="25.6640625" style="24" customWidth="1"/>
    <col min="2" max="2" width="9.44140625" style="24" customWidth="1"/>
    <col min="3" max="14" width="7.6640625" style="24" customWidth="1"/>
    <col min="15" max="15" width="8.5546875" style="24" customWidth="1"/>
    <col min="16" max="16" width="9.109375" style="24" customWidth="1"/>
    <col min="17" max="17" width="9.33203125" style="24" customWidth="1"/>
    <col min="18" max="25" width="8.5546875" style="24" customWidth="1"/>
    <col min="26" max="26" width="12.33203125" style="24" customWidth="1"/>
    <col min="27" max="16384" width="8.6640625" style="24"/>
  </cols>
  <sheetData>
    <row r="1" spans="1:26" ht="27.6" x14ac:dyDescent="0.25">
      <c r="A1" s="44" t="s">
        <v>0</v>
      </c>
      <c r="B1" s="341" t="str">
        <f>'A-Contracts-Partnerships Matrix'!B1</f>
        <v>NEW YORK</v>
      </c>
      <c r="C1" s="341"/>
      <c r="D1" s="39"/>
      <c r="E1" s="39"/>
      <c r="F1" s="39"/>
      <c r="G1" s="39"/>
      <c r="H1" s="39"/>
      <c r="I1" s="39"/>
      <c r="J1" s="39"/>
      <c r="K1" s="39"/>
      <c r="L1" s="39"/>
      <c r="M1" s="39"/>
      <c r="N1" s="39"/>
      <c r="O1" s="39"/>
      <c r="P1" s="39"/>
      <c r="Q1" s="39"/>
      <c r="R1" s="39"/>
      <c r="S1" s="39"/>
      <c r="T1" s="39"/>
      <c r="U1" s="39"/>
      <c r="V1" s="39"/>
      <c r="W1" s="39"/>
      <c r="X1" s="342" t="s">
        <v>2</v>
      </c>
      <c r="Y1" s="342"/>
      <c r="Z1" s="56" t="str">
        <f>'A-Contracts-Partnerships Matrix'!J1</f>
        <v>FY2025</v>
      </c>
    </row>
    <row r="2" spans="1:26" ht="15.6" x14ac:dyDescent="0.3">
      <c r="A2" s="314" t="s">
        <v>146</v>
      </c>
      <c r="B2" s="315"/>
      <c r="C2" s="315"/>
      <c r="D2" s="315"/>
      <c r="E2" s="315"/>
      <c r="F2" s="315"/>
      <c r="G2" s="315"/>
      <c r="H2" s="315"/>
      <c r="I2" s="315"/>
      <c r="J2" s="315"/>
      <c r="K2" s="315"/>
      <c r="L2" s="315"/>
      <c r="M2" s="315"/>
      <c r="N2" s="315"/>
      <c r="O2" s="315"/>
      <c r="P2" s="315"/>
      <c r="Q2" s="315"/>
      <c r="R2" s="315"/>
      <c r="S2" s="315"/>
      <c r="T2" s="315"/>
      <c r="U2" s="315"/>
      <c r="V2" s="315"/>
      <c r="W2" s="315"/>
      <c r="X2" s="315"/>
      <c r="Y2" s="315"/>
      <c r="Z2" s="320"/>
    </row>
    <row r="3" spans="1:26" ht="21" customHeight="1" x14ac:dyDescent="0.3">
      <c r="A3" s="370" t="s">
        <v>147</v>
      </c>
      <c r="B3" s="371"/>
      <c r="C3" s="371"/>
      <c r="D3" s="371"/>
      <c r="E3" s="371"/>
      <c r="F3" s="371"/>
      <c r="G3" s="371"/>
      <c r="H3" s="371"/>
      <c r="I3" s="371"/>
      <c r="J3" s="371"/>
      <c r="K3" s="371"/>
      <c r="L3" s="371"/>
      <c r="M3" s="371"/>
      <c r="N3" s="371"/>
      <c r="O3" s="371"/>
      <c r="P3" s="371"/>
      <c r="Q3" s="371"/>
      <c r="R3" s="371"/>
      <c r="S3" s="371"/>
      <c r="T3" s="371"/>
      <c r="U3" s="371"/>
      <c r="V3" s="371"/>
      <c r="W3" s="371"/>
      <c r="X3" s="371"/>
      <c r="Y3" s="371"/>
      <c r="Z3" s="372"/>
    </row>
    <row r="4" spans="1:26" ht="18" customHeight="1" x14ac:dyDescent="0.3">
      <c r="A4" s="310"/>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6" ht="26.4" customHeight="1" x14ac:dyDescent="0.3">
      <c r="A5" s="194" t="s">
        <v>148</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3">
      <c r="A6" s="310"/>
      <c r="B6" s="311"/>
      <c r="C6" s="311"/>
      <c r="D6" s="311"/>
      <c r="E6" s="311"/>
      <c r="F6" s="311"/>
      <c r="G6" s="311"/>
      <c r="H6" s="311"/>
      <c r="I6" s="311"/>
      <c r="J6" s="311"/>
      <c r="K6" s="311"/>
      <c r="L6" s="311"/>
      <c r="M6" s="311"/>
      <c r="N6" s="311"/>
      <c r="O6" s="311"/>
      <c r="P6" s="311"/>
      <c r="Q6" s="311"/>
      <c r="R6" s="311"/>
      <c r="S6" s="311"/>
      <c r="T6" s="311"/>
      <c r="U6" s="311"/>
      <c r="V6" s="311"/>
      <c r="W6" s="311"/>
      <c r="X6" s="311"/>
      <c r="Y6" s="311"/>
      <c r="Z6" s="311"/>
    </row>
    <row r="7" spans="1:26" ht="28.95" customHeight="1" x14ac:dyDescent="0.25">
      <c r="A7" s="160"/>
      <c r="B7" s="343" t="s">
        <v>149</v>
      </c>
      <c r="C7" s="343"/>
      <c r="D7" s="343"/>
      <c r="E7" s="343"/>
      <c r="F7" s="343"/>
      <c r="G7" s="343"/>
      <c r="H7" s="343"/>
      <c r="I7" s="343"/>
      <c r="J7" s="343"/>
      <c r="K7" s="343"/>
      <c r="L7" s="343"/>
      <c r="M7" s="343"/>
      <c r="N7" s="343"/>
      <c r="O7" s="343"/>
      <c r="P7" s="343"/>
      <c r="Q7" s="343"/>
      <c r="R7" s="343"/>
      <c r="S7" s="343"/>
      <c r="T7" s="343"/>
      <c r="U7" s="343"/>
      <c r="V7" s="343"/>
      <c r="W7" s="343"/>
      <c r="X7" s="343"/>
      <c r="Y7" s="343"/>
      <c r="Z7" s="154" t="s">
        <v>150</v>
      </c>
    </row>
    <row r="8" spans="1:26" ht="27.6" x14ac:dyDescent="0.25">
      <c r="A8" s="161" t="s">
        <v>139</v>
      </c>
      <c r="B8" s="129" t="s">
        <v>151</v>
      </c>
      <c r="C8" s="129" t="s">
        <v>152</v>
      </c>
      <c r="D8" s="129" t="s">
        <v>153</v>
      </c>
      <c r="E8" s="129" t="s">
        <v>154</v>
      </c>
      <c r="F8" s="129" t="s">
        <v>155</v>
      </c>
      <c r="G8" s="129" t="s">
        <v>156</v>
      </c>
      <c r="H8" s="129" t="s">
        <v>157</v>
      </c>
      <c r="I8" s="129" t="s">
        <v>158</v>
      </c>
      <c r="J8" s="129" t="s">
        <v>159</v>
      </c>
      <c r="K8" s="129" t="s">
        <v>160</v>
      </c>
      <c r="L8" s="129" t="s">
        <v>161</v>
      </c>
      <c r="M8" s="129" t="s">
        <v>162</v>
      </c>
      <c r="N8" s="129" t="s">
        <v>163</v>
      </c>
      <c r="O8" s="162" t="s">
        <v>164</v>
      </c>
      <c r="P8" s="162" t="s">
        <v>165</v>
      </c>
      <c r="Q8" s="162" t="s">
        <v>166</v>
      </c>
      <c r="R8" s="162" t="s">
        <v>167</v>
      </c>
      <c r="S8" s="162" t="s">
        <v>168</v>
      </c>
      <c r="T8" s="162" t="s">
        <v>169</v>
      </c>
      <c r="U8" s="162" t="s">
        <v>170</v>
      </c>
      <c r="V8" s="162" t="s">
        <v>171</v>
      </c>
      <c r="W8" s="162" t="s">
        <v>172</v>
      </c>
      <c r="X8" s="163" t="s">
        <v>173</v>
      </c>
      <c r="Y8" s="163" t="s">
        <v>174</v>
      </c>
      <c r="Z8" s="164" t="s">
        <v>175</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4.4"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4.4" thickBot="1" x14ac:dyDescent="0.3"/>
    <row r="120" spans="1:25" ht="28.2" thickBot="1" x14ac:dyDescent="0.3">
      <c r="A120" s="170" t="s">
        <v>176</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kRKUCdExmeQuQK7gIz27BYZm9EsaqVdLSZKyFQCIJPi15rNhQZJYlDeYfT2aE74+kpjMiGSexA+ctlui3JXA8w==" saltValue="hnQ8ewfo+XHlpgXo5xtm/A==" spinCount="100000" sheet="1" objects="1" scenarios="1"/>
  <mergeCells count="3">
    <mergeCell ref="B1:C1"/>
    <mergeCell ref="X1:Y1"/>
    <mergeCell ref="B7:Y7"/>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workbookViewId="0">
      <selection activeCell="A3" sqref="A3:E3"/>
    </sheetView>
  </sheetViews>
  <sheetFormatPr defaultColWidth="9.109375" defaultRowHeight="13.8" x14ac:dyDescent="0.25"/>
  <cols>
    <col min="1" max="1" width="34.109375" style="73" customWidth="1"/>
    <col min="2" max="2" width="37.5546875" style="73" customWidth="1"/>
    <col min="3" max="3" width="15.5546875" style="73" customWidth="1"/>
    <col min="4" max="4" width="21.33203125" style="73" customWidth="1"/>
    <col min="5" max="5" width="19.44140625" style="24" customWidth="1"/>
    <col min="6" max="16384" width="9.109375" style="24"/>
  </cols>
  <sheetData>
    <row r="1" spans="1:5" ht="27.6" x14ac:dyDescent="0.25">
      <c r="A1" s="44" t="s">
        <v>0</v>
      </c>
      <c r="B1" s="39" t="str">
        <f>'A-Contracts-Partnerships Matrix'!B1</f>
        <v>NEW YORK</v>
      </c>
      <c r="C1" s="40" t="s">
        <v>2</v>
      </c>
      <c r="D1" s="40"/>
      <c r="E1" s="56" t="str">
        <f>'A-Contracts-Partnerships Matrix'!J1</f>
        <v>FY2025</v>
      </c>
    </row>
    <row r="2" spans="1:5" ht="15.6" x14ac:dyDescent="0.3">
      <c r="A2" s="318" t="s">
        <v>177</v>
      </c>
      <c r="B2" s="309"/>
      <c r="C2" s="309"/>
      <c r="D2" s="309"/>
      <c r="E2" s="319"/>
    </row>
    <row r="3" spans="1:5" ht="19.8" customHeight="1" x14ac:dyDescent="0.3">
      <c r="A3" s="370" t="s">
        <v>178</v>
      </c>
      <c r="B3" s="373"/>
      <c r="C3" s="373"/>
      <c r="D3" s="373"/>
      <c r="E3" s="374"/>
    </row>
    <row r="4" spans="1:5" ht="14.4" x14ac:dyDescent="0.3">
      <c r="A4" s="69"/>
      <c r="B4" s="70" t="s">
        <v>179</v>
      </c>
      <c r="C4" s="270" t="s">
        <v>180</v>
      </c>
      <c r="D4" s="270" t="s">
        <v>181</v>
      </c>
      <c r="E4" s="71" t="s">
        <v>182</v>
      </c>
    </row>
    <row r="5" spans="1:5" x14ac:dyDescent="0.25">
      <c r="A5" s="323" t="s">
        <v>183</v>
      </c>
      <c r="B5" s="324"/>
      <c r="C5" s="324"/>
      <c r="D5" s="324"/>
      <c r="E5" s="325"/>
    </row>
    <row r="6" spans="1:5" ht="82.8" x14ac:dyDescent="0.25">
      <c r="A6" s="72" t="s">
        <v>184</v>
      </c>
      <c r="B6" s="73" t="s">
        <v>185</v>
      </c>
      <c r="C6" s="267">
        <v>100000</v>
      </c>
      <c r="D6" s="267"/>
      <c r="E6" s="272">
        <v>665307</v>
      </c>
    </row>
    <row r="7" spans="1:5" s="79" customFormat="1" ht="151.80000000000001" x14ac:dyDescent="0.25">
      <c r="A7" s="72" t="s">
        <v>186</v>
      </c>
      <c r="B7" s="73" t="s">
        <v>187</v>
      </c>
      <c r="C7" s="268" t="s">
        <v>188</v>
      </c>
      <c r="D7" s="279" t="s">
        <v>189</v>
      </c>
      <c r="E7" s="272">
        <v>403086</v>
      </c>
    </row>
    <row r="8" spans="1:5" s="79" customFormat="1" ht="27.6" x14ac:dyDescent="0.25">
      <c r="A8" s="72"/>
      <c r="B8" s="73"/>
      <c r="C8" s="268" t="s">
        <v>190</v>
      </c>
      <c r="D8" s="279"/>
      <c r="E8" s="272"/>
    </row>
    <row r="9" spans="1:5" s="79" customFormat="1" ht="27.6" x14ac:dyDescent="0.25">
      <c r="A9" s="72"/>
      <c r="B9" s="73"/>
      <c r="C9" s="268" t="s">
        <v>191</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1.4" x14ac:dyDescent="0.25">
      <c r="A12" s="72" t="s">
        <v>192</v>
      </c>
      <c r="B12" s="73" t="s">
        <v>193</v>
      </c>
      <c r="C12" s="268" t="s">
        <v>194</v>
      </c>
      <c r="D12" s="268"/>
      <c r="E12" s="273">
        <f>SUM(E7:E11)</f>
        <v>403086</v>
      </c>
    </row>
    <row r="13" spans="1:5" ht="27.6" x14ac:dyDescent="0.25">
      <c r="A13" s="72" t="s">
        <v>195</v>
      </c>
      <c r="C13" s="269">
        <v>1</v>
      </c>
      <c r="D13" s="269"/>
      <c r="E13" s="74">
        <f>E12/E6</f>
        <v>0.60586466097606062</v>
      </c>
    </row>
    <row r="14" spans="1:5" x14ac:dyDescent="0.25">
      <c r="A14" s="323" t="s">
        <v>196</v>
      </c>
      <c r="B14" s="324"/>
      <c r="C14" s="324"/>
      <c r="D14" s="324"/>
      <c r="E14" s="325"/>
    </row>
    <row r="15" spans="1:5" x14ac:dyDescent="0.25">
      <c r="A15" s="72" t="s">
        <v>197</v>
      </c>
      <c r="C15" s="267">
        <v>6500</v>
      </c>
      <c r="D15" s="267"/>
      <c r="E15" s="272">
        <v>333053</v>
      </c>
    </row>
    <row r="16" spans="1:5" ht="27.6" x14ac:dyDescent="0.25">
      <c r="A16" s="72" t="s">
        <v>198</v>
      </c>
      <c r="C16" s="268">
        <v>0</v>
      </c>
      <c r="D16" s="268"/>
      <c r="E16" s="272">
        <v>333053</v>
      </c>
    </row>
    <row r="17" spans="1:5" ht="41.4" x14ac:dyDescent="0.25">
      <c r="A17" s="72" t="s">
        <v>199</v>
      </c>
      <c r="C17" s="268">
        <v>250</v>
      </c>
      <c r="D17" s="268"/>
      <c r="E17" s="272">
        <v>0</v>
      </c>
    </row>
    <row r="18" spans="1:5" ht="27.6" x14ac:dyDescent="0.25">
      <c r="A18" s="72" t="s">
        <v>200</v>
      </c>
      <c r="C18" s="267">
        <v>6250</v>
      </c>
      <c r="D18" s="267"/>
      <c r="E18" s="273">
        <f>E15-(E16+E17)</f>
        <v>0</v>
      </c>
    </row>
    <row r="19" spans="1:5" x14ac:dyDescent="0.25">
      <c r="A19" s="323" t="s">
        <v>201</v>
      </c>
      <c r="B19" s="324"/>
      <c r="C19" s="324"/>
      <c r="D19" s="324"/>
      <c r="E19" s="325"/>
    </row>
    <row r="20" spans="1:5" ht="27.6" x14ac:dyDescent="0.25">
      <c r="A20" s="72" t="s">
        <v>202</v>
      </c>
      <c r="C20" s="268">
        <v>0</v>
      </c>
      <c r="D20" s="268"/>
      <c r="E20" s="272">
        <v>262221</v>
      </c>
    </row>
    <row r="21" spans="1:5" ht="27.6" x14ac:dyDescent="0.25">
      <c r="A21" s="72" t="s">
        <v>203</v>
      </c>
      <c r="C21" s="267">
        <v>2000</v>
      </c>
      <c r="D21" s="267"/>
      <c r="E21" s="272">
        <v>14342</v>
      </c>
    </row>
    <row r="22" spans="1:5" ht="27.6" x14ac:dyDescent="0.25">
      <c r="A22" s="72" t="s">
        <v>204</v>
      </c>
      <c r="C22" s="267">
        <v>2000</v>
      </c>
      <c r="D22" s="267"/>
      <c r="E22" s="273">
        <f>SUM(E20:E21)</f>
        <v>276563</v>
      </c>
    </row>
    <row r="23" spans="1:5" ht="27.6" x14ac:dyDescent="0.25">
      <c r="A23" s="72" t="s">
        <v>205</v>
      </c>
      <c r="B23" s="73" t="s">
        <v>206</v>
      </c>
      <c r="C23" s="268">
        <v>500</v>
      </c>
      <c r="D23" s="268"/>
      <c r="E23" s="272">
        <v>61628</v>
      </c>
    </row>
    <row r="24" spans="1:5" s="84" customFormat="1" x14ac:dyDescent="0.25">
      <c r="A24" s="323" t="s">
        <v>207</v>
      </c>
      <c r="B24" s="324"/>
      <c r="C24" s="324"/>
      <c r="D24" s="324"/>
      <c r="E24" s="325"/>
    </row>
    <row r="25" spans="1:5" ht="27.6" x14ac:dyDescent="0.25">
      <c r="A25" s="72" t="s">
        <v>208</v>
      </c>
      <c r="B25" s="73" t="s">
        <v>209</v>
      </c>
      <c r="C25" s="275">
        <v>2000</v>
      </c>
      <c r="D25" s="268"/>
      <c r="E25" s="272">
        <v>145993</v>
      </c>
    </row>
    <row r="26" spans="1:5" ht="28.2" thickBot="1" x14ac:dyDescent="0.3">
      <c r="A26" s="75" t="s">
        <v>210</v>
      </c>
      <c r="B26" s="76"/>
      <c r="C26" s="271">
        <v>1</v>
      </c>
      <c r="D26" s="271"/>
      <c r="E26" s="77">
        <f>E25/E22</f>
        <v>0.52788333941995136</v>
      </c>
    </row>
  </sheetData>
  <sheetProtection algorithmName="SHA-512" hashValue="fz9gZA/dYL1phzPHGgobG/NhstrrJoePKLnCFkaLHM/y6fNi/4RfJeiNJr2bQMilP4W1ZiHR/JdiemaX9LxVag==" saltValue="NO5OHTZuxcwRDDnoQUal6g==" spinCount="100000" sheet="1" objects="1" scenarios="1"/>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zoomScale="98" zoomScaleNormal="98" workbookViewId="0">
      <pane xSplit="1" topLeftCell="B1" activePane="topRight" state="frozen"/>
      <selection pane="topRight" activeCell="A2" sqref="A2:AE3"/>
    </sheetView>
  </sheetViews>
  <sheetFormatPr defaultColWidth="8.6640625" defaultRowHeight="13.8" x14ac:dyDescent="0.25"/>
  <cols>
    <col min="1" max="1" width="21.33203125" style="73" customWidth="1"/>
    <col min="2" max="10" width="30.6640625" style="73" customWidth="1"/>
    <col min="11" max="12" width="20.6640625" style="73" customWidth="1"/>
    <col min="13" max="18" width="18.6640625" style="73" customWidth="1"/>
    <col min="19" max="19" width="20.88671875" style="73" customWidth="1"/>
    <col min="20" max="20" width="13.109375" style="73" customWidth="1"/>
    <col min="21" max="21" width="11.33203125" style="178" customWidth="1"/>
    <col min="22" max="22" width="12" style="179" customWidth="1"/>
    <col min="23" max="23" width="12.5546875" style="180" customWidth="1"/>
    <col min="24" max="25" width="14.44140625" style="179" customWidth="1"/>
    <col min="26" max="26" width="13.109375" style="178" customWidth="1"/>
    <col min="27" max="27" width="19.6640625" style="178" customWidth="1"/>
    <col min="28" max="28" width="25.109375" style="73" customWidth="1"/>
    <col min="29" max="29" width="15.44140625" style="181" customWidth="1"/>
    <col min="30" max="30" width="19.109375" style="181" customWidth="1"/>
    <col min="31" max="31" width="19.6640625" style="24" customWidth="1"/>
    <col min="32" max="32" width="21.88671875" style="298" customWidth="1"/>
    <col min="33" max="16384" width="8.6640625" style="24"/>
  </cols>
  <sheetData>
    <row r="1" spans="1:32" ht="27.6" x14ac:dyDescent="0.25">
      <c r="A1" s="44" t="s">
        <v>0</v>
      </c>
      <c r="B1" s="39" t="str">
        <f>'A-Contracts-Partnerships Matrix'!B1</f>
        <v>NEW YORK</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5" customHeight="1" x14ac:dyDescent="0.25">
      <c r="A2" s="375" t="s">
        <v>211</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200"/>
    </row>
    <row r="3" spans="1:32" ht="19.2" customHeight="1" x14ac:dyDescent="0.25">
      <c r="A3" s="375"/>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200"/>
    </row>
    <row r="4" spans="1:32" ht="14.4" x14ac:dyDescent="0.3">
      <c r="A4" s="313"/>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1.4" x14ac:dyDescent="0.25">
      <c r="A5" s="200"/>
      <c r="S5" s="196" t="s">
        <v>212</v>
      </c>
      <c r="T5" s="196">
        <f>SUM(T12:T83)</f>
        <v>0</v>
      </c>
      <c r="U5" s="197"/>
      <c r="V5" s="198"/>
      <c r="W5" s="199"/>
      <c r="X5" s="198"/>
      <c r="Y5" s="197">
        <f>SUM(Y12:Y83)</f>
        <v>0</v>
      </c>
      <c r="Z5" s="197">
        <f>SUM(Z12:Z83)</f>
        <v>0</v>
      </c>
      <c r="AA5" s="197">
        <f>SUM(AA12:AA83)</f>
        <v>0</v>
      </c>
      <c r="AB5" s="196"/>
      <c r="AC5" s="197">
        <f t="shared" ref="AC5:AE5" si="0">SUM(AC12:AC83)</f>
        <v>0</v>
      </c>
      <c r="AD5" s="197">
        <f t="shared" si="0"/>
        <v>0</v>
      </c>
      <c r="AE5" s="294">
        <f t="shared" si="0"/>
        <v>0</v>
      </c>
      <c r="AF5" s="300"/>
    </row>
    <row r="6" spans="1:32" x14ac:dyDescent="0.25">
      <c r="A6" s="200"/>
      <c r="S6" s="301"/>
      <c r="T6" s="200"/>
      <c r="U6" s="201"/>
      <c r="V6" s="202"/>
      <c r="W6" s="203"/>
      <c r="X6" s="202"/>
      <c r="Y6" s="202"/>
      <c r="Z6" s="201"/>
      <c r="AA6" s="201"/>
      <c r="AB6" s="200"/>
      <c r="AC6" s="204"/>
      <c r="AD6" s="204"/>
      <c r="AE6" s="84"/>
      <c r="AF6" s="300"/>
    </row>
    <row r="7" spans="1:32" ht="27.6" x14ac:dyDescent="0.25">
      <c r="A7" s="200"/>
      <c r="S7" s="206" t="s">
        <v>213</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2" customHeight="1" thickBot="1" x14ac:dyDescent="0.3">
      <c r="A8" s="200"/>
      <c r="S8" s="212" t="s">
        <v>214</v>
      </c>
      <c r="T8" s="212">
        <f>SUMIF($X$12:$X$83,50%,T$12:T$83)</f>
        <v>0</v>
      </c>
      <c r="U8" s="213"/>
      <c r="V8" s="214"/>
      <c r="W8" s="215"/>
      <c r="X8" s="214"/>
      <c r="Y8" s="213">
        <f>SUMIF($X$12:$X$83,50%,Y$12:Y$83)</f>
        <v>0</v>
      </c>
      <c r="Z8" s="213">
        <f>SUMIF($X$12:$X$83,50%,Z$12:Z$83)</f>
        <v>0</v>
      </c>
      <c r="AA8" s="213">
        <f>SUMIF($X$12:$X$83,50%,AA$12:AA$83)</f>
        <v>0</v>
      </c>
      <c r="AB8" s="212"/>
      <c r="AC8" s="213">
        <f>SUMIF($X$12:$X$83,50%,AC$12:AC$83)</f>
        <v>0</v>
      </c>
      <c r="AD8" s="213">
        <f>SUMIF($X$12:$X$83,50%,AD$12:AD$83)</f>
        <v>0</v>
      </c>
      <c r="AE8" s="295">
        <f>SUMIF($X$12:$X$83,50%,AE$12:AE$83)</f>
        <v>0</v>
      </c>
      <c r="AF8" s="300"/>
    </row>
    <row r="9" spans="1:32" ht="13.2" customHeight="1" thickBot="1" x14ac:dyDescent="0.3">
      <c r="A9" s="200"/>
      <c r="T9" s="200"/>
      <c r="U9" s="258"/>
      <c r="V9" s="259"/>
      <c r="W9" s="260"/>
      <c r="X9" s="259"/>
      <c r="Y9" s="259"/>
      <c r="Z9" s="258"/>
      <c r="AA9" s="258"/>
      <c r="AB9" s="200"/>
      <c r="AC9" s="258"/>
      <c r="AD9" s="258"/>
      <c r="AE9" s="258"/>
      <c r="AF9" s="300"/>
    </row>
    <row r="10" spans="1:32" ht="19.95" customHeight="1" thickBot="1" x14ac:dyDescent="0.35">
      <c r="A10" s="344" t="s">
        <v>215</v>
      </c>
      <c r="B10" s="345"/>
      <c r="C10" s="345"/>
      <c r="D10" s="345"/>
      <c r="E10" s="345"/>
      <c r="F10" s="345"/>
      <c r="G10" s="345"/>
      <c r="H10" s="345"/>
      <c r="I10" s="345"/>
      <c r="J10" s="345"/>
      <c r="K10" s="345"/>
      <c r="L10" s="345"/>
      <c r="M10" s="345"/>
      <c r="N10" s="345"/>
      <c r="O10" s="345"/>
      <c r="P10" s="345"/>
      <c r="Q10" s="345"/>
      <c r="R10" s="345"/>
      <c r="S10" s="346"/>
      <c r="T10" s="347" t="s">
        <v>216</v>
      </c>
      <c r="U10" s="348"/>
      <c r="V10" s="348"/>
      <c r="W10" s="348"/>
      <c r="X10" s="348"/>
      <c r="Y10" s="348"/>
      <c r="Z10" s="348"/>
      <c r="AA10" s="348"/>
      <c r="AB10" s="348"/>
      <c r="AC10" s="348"/>
      <c r="AD10" s="348"/>
      <c r="AE10" s="348"/>
      <c r="AF10" s="300"/>
    </row>
    <row r="11" spans="1:32" ht="159" customHeight="1" x14ac:dyDescent="0.25">
      <c r="A11" s="253" t="s">
        <v>217</v>
      </c>
      <c r="B11" s="254" t="s">
        <v>218</v>
      </c>
      <c r="C11" s="292" t="s">
        <v>219</v>
      </c>
      <c r="D11" s="292" t="s">
        <v>220</v>
      </c>
      <c r="E11" s="292" t="s">
        <v>221</v>
      </c>
      <c r="F11" s="292" t="s">
        <v>222</v>
      </c>
      <c r="G11" s="292" t="s">
        <v>223</v>
      </c>
      <c r="H11" s="292" t="s">
        <v>224</v>
      </c>
      <c r="I11" s="292" t="s">
        <v>225</v>
      </c>
      <c r="J11" s="292" t="s">
        <v>226</v>
      </c>
      <c r="K11" s="254" t="s">
        <v>227</v>
      </c>
      <c r="L11" s="292" t="s">
        <v>228</v>
      </c>
      <c r="M11" s="254" t="s">
        <v>229</v>
      </c>
      <c r="N11" s="254" t="s">
        <v>230</v>
      </c>
      <c r="O11" s="293" t="s">
        <v>231</v>
      </c>
      <c r="P11" s="293" t="s">
        <v>232</v>
      </c>
      <c r="Q11" s="262" t="s">
        <v>233</v>
      </c>
      <c r="R11" s="255" t="s">
        <v>234</v>
      </c>
      <c r="S11" s="266" t="s">
        <v>235</v>
      </c>
      <c r="T11" s="251" t="s">
        <v>236</v>
      </c>
      <c r="U11" s="216" t="s">
        <v>237</v>
      </c>
      <c r="V11" s="217" t="s">
        <v>238</v>
      </c>
      <c r="W11" s="218" t="s">
        <v>239</v>
      </c>
      <c r="X11" s="217" t="s">
        <v>240</v>
      </c>
      <c r="Y11" s="217" t="s">
        <v>241</v>
      </c>
      <c r="Z11" s="216" t="s">
        <v>242</v>
      </c>
      <c r="AA11" s="216" t="s">
        <v>243</v>
      </c>
      <c r="AB11" s="216" t="s">
        <v>244</v>
      </c>
      <c r="AC11" s="216" t="s">
        <v>245</v>
      </c>
      <c r="AD11" s="216" t="s">
        <v>246</v>
      </c>
      <c r="AE11" s="296" t="s">
        <v>247</v>
      </c>
    </row>
    <row r="12" spans="1:32" x14ac:dyDescent="0.25">
      <c r="A12" s="108"/>
      <c r="B12" s="109"/>
      <c r="C12" s="109"/>
      <c r="D12" s="109"/>
      <c r="E12" s="109"/>
      <c r="F12" s="109"/>
      <c r="G12" s="109"/>
      <c r="H12" s="109"/>
      <c r="I12" s="109"/>
      <c r="J12" s="109"/>
      <c r="K12" s="109"/>
      <c r="L12" s="109"/>
      <c r="M12" s="109"/>
      <c r="N12" s="109"/>
      <c r="O12" s="263"/>
      <c r="P12" s="263"/>
      <c r="Q12" s="263"/>
      <c r="R12" s="263"/>
      <c r="S12" s="256"/>
      <c r="T12" s="252"/>
      <c r="U12" s="219"/>
      <c r="V12" s="220"/>
      <c r="W12" s="221"/>
      <c r="X12" s="220"/>
      <c r="Y12" s="222">
        <f t="shared" ref="Y12:Y14" si="2">SUM(T12*U12*W12)</f>
        <v>0</v>
      </c>
      <c r="Z12" s="222">
        <f>SUM(Y12*V12)</f>
        <v>0</v>
      </c>
      <c r="AA12" s="222">
        <f>SUM(Z12*X12)</f>
        <v>0</v>
      </c>
      <c r="AB12" s="109"/>
      <c r="AC12" s="223"/>
      <c r="AD12" s="223"/>
      <c r="AE12" s="224">
        <f>SUM(AA12+AC12+AD12)</f>
        <v>0</v>
      </c>
    </row>
    <row r="13" spans="1:32" x14ac:dyDescent="0.25">
      <c r="A13" s="108"/>
      <c r="B13" s="109"/>
      <c r="C13" s="109"/>
      <c r="D13" s="109"/>
      <c r="E13" s="109"/>
      <c r="F13" s="109"/>
      <c r="G13" s="109"/>
      <c r="H13" s="109"/>
      <c r="I13" s="109"/>
      <c r="J13" s="109"/>
      <c r="K13" s="109"/>
      <c r="L13" s="109"/>
      <c r="M13" s="109"/>
      <c r="N13" s="109"/>
      <c r="O13" s="263"/>
      <c r="P13" s="263"/>
      <c r="Q13" s="263"/>
      <c r="R13" s="263"/>
      <c r="S13" s="256"/>
      <c r="T13" s="252"/>
      <c r="U13" s="219"/>
      <c r="V13" s="220"/>
      <c r="W13" s="221"/>
      <c r="X13" s="220"/>
      <c r="Y13" s="222">
        <f t="shared" si="2"/>
        <v>0</v>
      </c>
      <c r="Z13" s="222">
        <f t="shared" ref="Z13:Z76" si="3">SUM(Y13*V13)</f>
        <v>0</v>
      </c>
      <c r="AA13" s="222">
        <f t="shared" ref="AA13:AA76" si="4">SUM(Z13*X13)</f>
        <v>0</v>
      </c>
      <c r="AB13" s="109"/>
      <c r="AC13" s="223"/>
      <c r="AD13" s="223"/>
      <c r="AE13" s="224">
        <f t="shared" ref="AE13:AE76" si="5">SUM(AA13+AC13+AD13)</f>
        <v>0</v>
      </c>
    </row>
    <row r="14" spans="1:32" x14ac:dyDescent="0.25">
      <c r="A14" s="108"/>
      <c r="B14" s="109"/>
      <c r="C14" s="109"/>
      <c r="D14" s="109"/>
      <c r="E14" s="109"/>
      <c r="F14" s="109"/>
      <c r="G14" s="109"/>
      <c r="H14" s="109"/>
      <c r="I14" s="109"/>
      <c r="J14" s="109"/>
      <c r="K14" s="109"/>
      <c r="L14" s="109"/>
      <c r="M14" s="109"/>
      <c r="N14" s="109"/>
      <c r="O14" s="263"/>
      <c r="P14" s="263"/>
      <c r="Q14" s="263"/>
      <c r="R14" s="263"/>
      <c r="S14" s="256"/>
      <c r="T14" s="252"/>
      <c r="U14" s="219"/>
      <c r="V14" s="220"/>
      <c r="W14" s="221"/>
      <c r="X14" s="220"/>
      <c r="Y14" s="222">
        <f t="shared" si="2"/>
        <v>0</v>
      </c>
      <c r="Z14" s="222">
        <f t="shared" si="3"/>
        <v>0</v>
      </c>
      <c r="AA14" s="222">
        <f t="shared" si="4"/>
        <v>0</v>
      </c>
      <c r="AB14" s="109"/>
      <c r="AC14" s="223"/>
      <c r="AD14" s="223"/>
      <c r="AE14" s="224">
        <f t="shared" si="5"/>
        <v>0</v>
      </c>
    </row>
    <row r="15" spans="1:32" x14ac:dyDescent="0.25">
      <c r="A15" s="108"/>
      <c r="B15" s="109"/>
      <c r="C15" s="109"/>
      <c r="D15" s="109"/>
      <c r="E15" s="109"/>
      <c r="F15" s="109"/>
      <c r="G15" s="109"/>
      <c r="H15" s="109"/>
      <c r="I15" s="109"/>
      <c r="J15" s="109"/>
      <c r="K15" s="109"/>
      <c r="L15" s="109"/>
      <c r="M15" s="109"/>
      <c r="N15" s="109"/>
      <c r="O15" s="263"/>
      <c r="P15" s="263"/>
      <c r="Q15" s="263"/>
      <c r="R15" s="263"/>
      <c r="S15" s="256"/>
      <c r="T15" s="252"/>
      <c r="U15" s="219"/>
      <c r="V15" s="220"/>
      <c r="W15" s="221"/>
      <c r="X15" s="220"/>
      <c r="Y15" s="222">
        <f>SUM(T15*U15*W15)</f>
        <v>0</v>
      </c>
      <c r="Z15" s="222">
        <f t="shared" si="3"/>
        <v>0</v>
      </c>
      <c r="AA15" s="222">
        <f t="shared" si="4"/>
        <v>0</v>
      </c>
      <c r="AB15" s="109"/>
      <c r="AC15" s="223"/>
      <c r="AD15" s="223"/>
      <c r="AE15" s="224">
        <f t="shared" si="5"/>
        <v>0</v>
      </c>
    </row>
    <row r="16" spans="1:32" x14ac:dyDescent="0.25">
      <c r="A16" s="108"/>
      <c r="B16" s="109"/>
      <c r="C16" s="109"/>
      <c r="D16" s="109"/>
      <c r="E16" s="109"/>
      <c r="F16" s="109"/>
      <c r="G16" s="109"/>
      <c r="H16" s="109"/>
      <c r="I16" s="109"/>
      <c r="J16" s="109"/>
      <c r="K16" s="109"/>
      <c r="L16" s="109"/>
      <c r="M16" s="109"/>
      <c r="N16" s="109"/>
      <c r="O16" s="263"/>
      <c r="P16" s="263"/>
      <c r="Q16" s="263"/>
      <c r="R16" s="263"/>
      <c r="S16" s="256"/>
      <c r="T16" s="252"/>
      <c r="U16" s="219"/>
      <c r="V16" s="220"/>
      <c r="W16" s="221"/>
      <c r="X16" s="220"/>
      <c r="Y16" s="222">
        <f t="shared" ref="Y16:Y79" si="6">SUM(T16*U16*W16)</f>
        <v>0</v>
      </c>
      <c r="Z16" s="222">
        <f t="shared" si="3"/>
        <v>0</v>
      </c>
      <c r="AA16" s="222">
        <f t="shared" si="4"/>
        <v>0</v>
      </c>
      <c r="AB16" s="109"/>
      <c r="AC16" s="223"/>
      <c r="AD16" s="223"/>
      <c r="AE16" s="224">
        <f t="shared" si="5"/>
        <v>0</v>
      </c>
    </row>
    <row r="17" spans="1:31" x14ac:dyDescent="0.25">
      <c r="A17" s="108"/>
      <c r="B17" s="109"/>
      <c r="C17" s="109"/>
      <c r="D17" s="109"/>
      <c r="E17" s="109"/>
      <c r="F17" s="109"/>
      <c r="G17" s="109"/>
      <c r="H17" s="109"/>
      <c r="I17" s="109"/>
      <c r="J17" s="109"/>
      <c r="K17" s="109"/>
      <c r="L17" s="109"/>
      <c r="M17" s="109"/>
      <c r="N17" s="109"/>
      <c r="O17" s="263"/>
      <c r="P17" s="263"/>
      <c r="Q17" s="263"/>
      <c r="R17" s="263"/>
      <c r="S17" s="256"/>
      <c r="T17" s="252"/>
      <c r="U17" s="219"/>
      <c r="V17" s="220"/>
      <c r="W17" s="221"/>
      <c r="X17" s="220"/>
      <c r="Y17" s="222">
        <f t="shared" si="6"/>
        <v>0</v>
      </c>
      <c r="Z17" s="222">
        <f t="shared" si="3"/>
        <v>0</v>
      </c>
      <c r="AA17" s="222">
        <f t="shared" si="4"/>
        <v>0</v>
      </c>
      <c r="AB17" s="109"/>
      <c r="AC17" s="223"/>
      <c r="AD17" s="223"/>
      <c r="AE17" s="224">
        <f t="shared" si="5"/>
        <v>0</v>
      </c>
    </row>
    <row r="18" spans="1:31" x14ac:dyDescent="0.25">
      <c r="A18" s="108"/>
      <c r="B18" s="109"/>
      <c r="C18" s="109"/>
      <c r="D18" s="109"/>
      <c r="E18" s="109"/>
      <c r="F18" s="109"/>
      <c r="G18" s="109"/>
      <c r="H18" s="109"/>
      <c r="I18" s="109"/>
      <c r="J18" s="109"/>
      <c r="K18" s="109"/>
      <c r="L18" s="109"/>
      <c r="M18" s="109"/>
      <c r="N18" s="109"/>
      <c r="O18" s="263"/>
      <c r="P18" s="263"/>
      <c r="Q18" s="263"/>
      <c r="R18" s="263"/>
      <c r="S18" s="256"/>
      <c r="T18" s="252"/>
      <c r="U18" s="219"/>
      <c r="V18" s="220"/>
      <c r="W18" s="221"/>
      <c r="X18" s="220"/>
      <c r="Y18" s="222">
        <f t="shared" si="6"/>
        <v>0</v>
      </c>
      <c r="Z18" s="222">
        <f t="shared" si="3"/>
        <v>0</v>
      </c>
      <c r="AA18" s="222">
        <f t="shared" si="4"/>
        <v>0</v>
      </c>
      <c r="AB18" s="109"/>
      <c r="AC18" s="223"/>
      <c r="AD18" s="223"/>
      <c r="AE18" s="224">
        <f t="shared" si="5"/>
        <v>0</v>
      </c>
    </row>
    <row r="19" spans="1:31" x14ac:dyDescent="0.25">
      <c r="A19" s="108"/>
      <c r="B19" s="109"/>
      <c r="C19" s="109"/>
      <c r="D19" s="109"/>
      <c r="E19" s="109"/>
      <c r="F19" s="109"/>
      <c r="G19" s="109"/>
      <c r="H19" s="109"/>
      <c r="I19" s="109"/>
      <c r="J19" s="109"/>
      <c r="K19" s="109"/>
      <c r="L19" s="109"/>
      <c r="M19" s="109"/>
      <c r="N19" s="109"/>
      <c r="O19" s="263"/>
      <c r="P19" s="263"/>
      <c r="Q19" s="263"/>
      <c r="R19" s="263"/>
      <c r="S19" s="256"/>
      <c r="T19" s="252"/>
      <c r="U19" s="219"/>
      <c r="V19" s="220"/>
      <c r="W19" s="221"/>
      <c r="X19" s="220"/>
      <c r="Y19" s="222">
        <f t="shared" si="6"/>
        <v>0</v>
      </c>
      <c r="Z19" s="222">
        <f t="shared" si="3"/>
        <v>0</v>
      </c>
      <c r="AA19" s="222">
        <f t="shared" si="4"/>
        <v>0</v>
      </c>
      <c r="AB19" s="109"/>
      <c r="AC19" s="223"/>
      <c r="AD19" s="223"/>
      <c r="AE19" s="224">
        <f t="shared" si="5"/>
        <v>0</v>
      </c>
    </row>
    <row r="20" spans="1:31" x14ac:dyDescent="0.25">
      <c r="A20" s="108"/>
      <c r="B20" s="109"/>
      <c r="C20" s="109"/>
      <c r="D20" s="109"/>
      <c r="E20" s="109"/>
      <c r="F20" s="109"/>
      <c r="G20" s="109"/>
      <c r="H20" s="109"/>
      <c r="I20" s="109"/>
      <c r="J20" s="109"/>
      <c r="K20" s="109"/>
      <c r="L20" s="109"/>
      <c r="M20" s="109"/>
      <c r="N20" s="109"/>
      <c r="O20" s="263"/>
      <c r="P20" s="263"/>
      <c r="Q20" s="263"/>
      <c r="R20" s="263"/>
      <c r="S20" s="256"/>
      <c r="T20" s="252"/>
      <c r="U20" s="219"/>
      <c r="V20" s="220"/>
      <c r="W20" s="221"/>
      <c r="X20" s="220"/>
      <c r="Y20" s="222">
        <f t="shared" si="6"/>
        <v>0</v>
      </c>
      <c r="Z20" s="222">
        <f t="shared" si="3"/>
        <v>0</v>
      </c>
      <c r="AA20" s="222">
        <f t="shared" si="4"/>
        <v>0</v>
      </c>
      <c r="AB20" s="109"/>
      <c r="AC20" s="223"/>
      <c r="AD20" s="223"/>
      <c r="AE20" s="224">
        <f t="shared" si="5"/>
        <v>0</v>
      </c>
    </row>
    <row r="21" spans="1:31" x14ac:dyDescent="0.25">
      <c r="A21" s="108"/>
      <c r="B21" s="109"/>
      <c r="C21" s="109"/>
      <c r="D21" s="109"/>
      <c r="E21" s="109"/>
      <c r="F21" s="109"/>
      <c r="G21" s="109"/>
      <c r="H21" s="109"/>
      <c r="I21" s="109"/>
      <c r="J21" s="109"/>
      <c r="K21" s="109"/>
      <c r="L21" s="109"/>
      <c r="M21" s="109"/>
      <c r="N21" s="109"/>
      <c r="O21" s="263"/>
      <c r="P21" s="263"/>
      <c r="Q21" s="263"/>
      <c r="R21" s="263"/>
      <c r="S21" s="256"/>
      <c r="T21" s="252"/>
      <c r="U21" s="219"/>
      <c r="V21" s="220"/>
      <c r="W21" s="221"/>
      <c r="X21" s="220"/>
      <c r="Y21" s="222">
        <f t="shared" si="6"/>
        <v>0</v>
      </c>
      <c r="Z21" s="222">
        <f t="shared" si="3"/>
        <v>0</v>
      </c>
      <c r="AA21" s="222">
        <f t="shared" si="4"/>
        <v>0</v>
      </c>
      <c r="AB21" s="109"/>
      <c r="AC21" s="223"/>
      <c r="AD21" s="223"/>
      <c r="AE21" s="224">
        <f t="shared" si="5"/>
        <v>0</v>
      </c>
    </row>
    <row r="22" spans="1:31" x14ac:dyDescent="0.25">
      <c r="A22" s="108"/>
      <c r="B22" s="109"/>
      <c r="C22" s="109"/>
      <c r="D22" s="109"/>
      <c r="E22" s="109"/>
      <c r="F22" s="109"/>
      <c r="G22" s="109"/>
      <c r="H22" s="109"/>
      <c r="I22" s="109"/>
      <c r="J22" s="109"/>
      <c r="K22" s="109"/>
      <c r="L22" s="109"/>
      <c r="M22" s="109"/>
      <c r="N22" s="109"/>
      <c r="O22" s="263"/>
      <c r="P22" s="263"/>
      <c r="Q22" s="263"/>
      <c r="R22" s="263"/>
      <c r="S22" s="256"/>
      <c r="T22" s="252"/>
      <c r="U22" s="219"/>
      <c r="V22" s="220"/>
      <c r="W22" s="221"/>
      <c r="X22" s="220"/>
      <c r="Y22" s="222">
        <f t="shared" si="6"/>
        <v>0</v>
      </c>
      <c r="Z22" s="222">
        <f t="shared" si="3"/>
        <v>0</v>
      </c>
      <c r="AA22" s="222">
        <f t="shared" si="4"/>
        <v>0</v>
      </c>
      <c r="AB22" s="109"/>
      <c r="AC22" s="223"/>
      <c r="AD22" s="223"/>
      <c r="AE22" s="224">
        <f t="shared" si="5"/>
        <v>0</v>
      </c>
    </row>
    <row r="23" spans="1:31" x14ac:dyDescent="0.25">
      <c r="A23" s="108"/>
      <c r="B23" s="109"/>
      <c r="C23" s="109"/>
      <c r="D23" s="109"/>
      <c r="E23" s="109"/>
      <c r="F23" s="109"/>
      <c r="G23" s="109"/>
      <c r="H23" s="109"/>
      <c r="I23" s="109"/>
      <c r="J23" s="109"/>
      <c r="K23" s="109"/>
      <c r="L23" s="109"/>
      <c r="M23" s="109"/>
      <c r="N23" s="109"/>
      <c r="O23" s="263"/>
      <c r="P23" s="263"/>
      <c r="Q23" s="263"/>
      <c r="R23" s="263"/>
      <c r="S23" s="256"/>
      <c r="T23" s="252"/>
      <c r="U23" s="219"/>
      <c r="V23" s="220"/>
      <c r="W23" s="221"/>
      <c r="X23" s="220"/>
      <c r="Y23" s="222">
        <f t="shared" si="6"/>
        <v>0</v>
      </c>
      <c r="Z23" s="222">
        <f t="shared" si="3"/>
        <v>0</v>
      </c>
      <c r="AA23" s="222">
        <f t="shared" si="4"/>
        <v>0</v>
      </c>
      <c r="AB23" s="109"/>
      <c r="AC23" s="223"/>
      <c r="AD23" s="223"/>
      <c r="AE23" s="224">
        <f t="shared" si="5"/>
        <v>0</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4.4"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1.4" x14ac:dyDescent="0.25">
      <c r="A89" s="144" t="s">
        <v>212</v>
      </c>
      <c r="B89" s="195"/>
      <c r="C89" s="195"/>
      <c r="D89" s="195"/>
      <c r="E89" s="195"/>
      <c r="F89" s="195"/>
      <c r="G89" s="195"/>
      <c r="H89" s="195"/>
      <c r="I89" s="195"/>
      <c r="J89" s="195"/>
      <c r="K89" s="195"/>
      <c r="L89" s="195"/>
      <c r="M89" s="195"/>
      <c r="N89" s="195"/>
      <c r="O89" s="195"/>
      <c r="P89" s="195"/>
      <c r="Q89" s="195"/>
      <c r="R89" s="195"/>
      <c r="S89" s="195"/>
      <c r="T89" s="195">
        <f>SUM(T12:T83)</f>
        <v>0</v>
      </c>
      <c r="U89" s="235"/>
      <c r="V89" s="236"/>
      <c r="W89" s="237"/>
      <c r="X89" s="236"/>
      <c r="Y89" s="236"/>
      <c r="Z89" s="235">
        <f>SUM(Z12:Z83)</f>
        <v>0</v>
      </c>
      <c r="AA89" s="235">
        <f>SUM(AA12:AA83)</f>
        <v>0</v>
      </c>
      <c r="AB89" s="195"/>
      <c r="AC89" s="235">
        <f>SUM(AC12:AC83)</f>
        <v>0</v>
      </c>
      <c r="AD89" s="235">
        <f>SUM(AD12:AD83)</f>
        <v>0</v>
      </c>
      <c r="AE89" s="238">
        <f>SUM(AE12:AE83)</f>
        <v>0</v>
      </c>
    </row>
    <row r="90" spans="1:31" x14ac:dyDescent="0.25">
      <c r="A90" s="72"/>
      <c r="U90" s="230"/>
      <c r="V90" s="232"/>
      <c r="W90" s="233"/>
      <c r="X90" s="232"/>
      <c r="Y90" s="232"/>
      <c r="Z90" s="230"/>
      <c r="AA90" s="230"/>
      <c r="AC90" s="234"/>
      <c r="AD90" s="234"/>
    </row>
    <row r="91" spans="1:31" ht="27.6" x14ac:dyDescent="0.25">
      <c r="A91" s="239" t="s">
        <v>213</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4.4" thickBot="1" x14ac:dyDescent="0.3">
      <c r="A92" s="244" t="s">
        <v>214</v>
      </c>
      <c r="B92" s="211"/>
      <c r="C92" s="211"/>
      <c r="D92" s="211"/>
      <c r="E92" s="211"/>
      <c r="F92" s="211"/>
      <c r="G92" s="211"/>
      <c r="H92" s="211"/>
      <c r="I92" s="211"/>
      <c r="J92" s="211"/>
      <c r="K92" s="211"/>
      <c r="L92" s="211"/>
      <c r="M92" s="211"/>
      <c r="N92" s="211"/>
      <c r="O92" s="211"/>
      <c r="P92" s="211"/>
      <c r="Q92" s="211"/>
      <c r="R92" s="211"/>
      <c r="S92" s="211"/>
      <c r="T92" s="211">
        <f>SUMIF($X$12:$X$83,50%,T$12:T$83)</f>
        <v>0</v>
      </c>
      <c r="U92" s="245"/>
      <c r="V92" s="246"/>
      <c r="W92" s="247"/>
      <c r="X92" s="246"/>
      <c r="Y92" s="246"/>
      <c r="Z92" s="245">
        <f>SUMIF($X$12:$X$83,50%,Z$12:Z$83)</f>
        <v>0</v>
      </c>
      <c r="AA92" s="245">
        <f>SUMIF($X$12:$X$83,50%,AA$12:AA$83)</f>
        <v>0</v>
      </c>
      <c r="AB92" s="211"/>
      <c r="AC92" s="245">
        <f>SUMIF($X$12:$X$83,50%,AC$12:AC$83)</f>
        <v>0</v>
      </c>
      <c r="AD92" s="245">
        <f>SUMIF($X$12:$X$83,50%,AD$12:AD$83)</f>
        <v>0</v>
      </c>
      <c r="AE92" s="297">
        <f>SUMIF($X$12:$X$83,50%,AE$12:AE$83)</f>
        <v>0</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2qpAf8ZtmxC1KjVXfB0eJJAylKy+Yx1udrKbTr9Gefk+Aav2rQ6UNzvwM//WMdQVodwEHPAp0J0c/4+uCiITig==" saltValue="9+kHmIBgKP3eQ4aU8Hm7Rg==" spinCount="100000" sheet="1" objects="1" scenarios="1"/>
  <autoFilter ref="A11:AE83" xr:uid="{00000000-0009-0000-0000-000000000000}"/>
  <mergeCells count="2">
    <mergeCell ref="A10:S10"/>
    <mergeCell ref="T10:AE10"/>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B54"/>
    </sheetView>
  </sheetViews>
  <sheetFormatPr defaultRowHeight="14.4" x14ac:dyDescent="0.3"/>
  <cols>
    <col min="1" max="4" width="26.109375" customWidth="1"/>
  </cols>
  <sheetData>
    <row r="1" spans="1:4" ht="42" customHeight="1" x14ac:dyDescent="0.3">
      <c r="A1" s="57" t="s">
        <v>248</v>
      </c>
      <c r="B1" s="58" t="s">
        <v>249</v>
      </c>
      <c r="C1" s="58" t="s">
        <v>250</v>
      </c>
      <c r="D1" s="59" t="s">
        <v>251</v>
      </c>
    </row>
    <row r="2" spans="1:4" x14ac:dyDescent="0.3">
      <c r="A2" s="16" t="s">
        <v>252</v>
      </c>
      <c r="B2" s="67">
        <v>3001371</v>
      </c>
      <c r="C2" s="68">
        <v>5175184</v>
      </c>
      <c r="D2" s="68"/>
    </row>
    <row r="3" spans="1:4" x14ac:dyDescent="0.3">
      <c r="A3" s="16" t="s">
        <v>253</v>
      </c>
      <c r="B3" s="67">
        <v>444783</v>
      </c>
      <c r="C3" s="68">
        <v>1268815</v>
      </c>
      <c r="D3" s="68"/>
    </row>
    <row r="4" spans="1:4" x14ac:dyDescent="0.3">
      <c r="A4" s="16" t="s">
        <v>254</v>
      </c>
      <c r="B4" s="67">
        <v>2156511</v>
      </c>
      <c r="C4" s="68">
        <v>5146105</v>
      </c>
      <c r="D4" s="68"/>
    </row>
    <row r="5" spans="1:4" x14ac:dyDescent="0.3">
      <c r="A5" s="16" t="s">
        <v>255</v>
      </c>
      <c r="B5" s="67">
        <v>845153</v>
      </c>
      <c r="C5" s="68">
        <v>4397869</v>
      </c>
      <c r="D5" s="68"/>
    </row>
    <row r="6" spans="1:4" x14ac:dyDescent="0.3">
      <c r="A6" s="16" t="s">
        <v>256</v>
      </c>
      <c r="B6" s="67">
        <v>13912768</v>
      </c>
      <c r="C6" s="68">
        <v>80884238</v>
      </c>
      <c r="D6" s="68"/>
    </row>
    <row r="7" spans="1:4" x14ac:dyDescent="0.3">
      <c r="A7" s="16" t="s">
        <v>257</v>
      </c>
      <c r="B7" s="67">
        <v>1542315</v>
      </c>
      <c r="C7" s="68">
        <v>16812290</v>
      </c>
      <c r="D7" s="68"/>
    </row>
    <row r="8" spans="1:4" x14ac:dyDescent="0.3">
      <c r="A8" s="16" t="s">
        <v>258</v>
      </c>
      <c r="B8" s="67">
        <v>854101</v>
      </c>
      <c r="C8" s="68">
        <v>4310318</v>
      </c>
      <c r="D8" s="68"/>
    </row>
    <row r="9" spans="1:4" x14ac:dyDescent="0.3">
      <c r="A9" s="16" t="s">
        <v>259</v>
      </c>
      <c r="B9" s="67">
        <v>347825</v>
      </c>
      <c r="C9" s="68">
        <v>420968</v>
      </c>
      <c r="D9" s="68"/>
    </row>
    <row r="10" spans="1:4" x14ac:dyDescent="0.3">
      <c r="A10" s="16" t="s">
        <v>260</v>
      </c>
      <c r="B10" s="67">
        <v>444231</v>
      </c>
      <c r="C10" s="68">
        <v>10563518</v>
      </c>
      <c r="D10" s="68"/>
    </row>
    <row r="11" spans="1:4" x14ac:dyDescent="0.3">
      <c r="A11" s="16" t="s">
        <v>261</v>
      </c>
      <c r="B11" s="67">
        <v>6122540</v>
      </c>
      <c r="C11" s="68">
        <v>102386</v>
      </c>
      <c r="D11" s="68"/>
    </row>
    <row r="12" spans="1:4" x14ac:dyDescent="0.3">
      <c r="A12" s="16" t="s">
        <v>262</v>
      </c>
      <c r="B12" s="67">
        <v>4302066</v>
      </c>
      <c r="C12" s="68">
        <v>1598829</v>
      </c>
      <c r="D12" s="68"/>
    </row>
    <row r="13" spans="1:4" x14ac:dyDescent="0.3">
      <c r="A13" s="16" t="s">
        <v>263</v>
      </c>
      <c r="B13" s="67">
        <v>100000</v>
      </c>
      <c r="C13" s="68">
        <v>34436</v>
      </c>
      <c r="D13" s="68"/>
    </row>
    <row r="14" spans="1:4" x14ac:dyDescent="0.3">
      <c r="A14" s="16" t="s">
        <v>264</v>
      </c>
      <c r="B14" s="67">
        <v>540131</v>
      </c>
      <c r="C14" s="68">
        <v>1542770</v>
      </c>
      <c r="D14" s="68"/>
    </row>
    <row r="15" spans="1:4" x14ac:dyDescent="0.3">
      <c r="A15" s="16" t="s">
        <v>265</v>
      </c>
      <c r="B15" s="67">
        <v>915588</v>
      </c>
      <c r="C15" s="68">
        <v>330544</v>
      </c>
      <c r="D15" s="68"/>
    </row>
    <row r="16" spans="1:4" x14ac:dyDescent="0.3">
      <c r="A16" s="16" t="s">
        <v>266</v>
      </c>
      <c r="B16" s="67">
        <v>7867326</v>
      </c>
      <c r="C16" s="68">
        <v>24522816</v>
      </c>
      <c r="D16" s="68"/>
    </row>
    <row r="17" spans="1:4" x14ac:dyDescent="0.3">
      <c r="A17" s="16" t="s">
        <v>267</v>
      </c>
      <c r="B17" s="67">
        <v>1427245</v>
      </c>
      <c r="C17" s="68">
        <v>4281179</v>
      </c>
      <c r="D17" s="68"/>
    </row>
    <row r="18" spans="1:4" x14ac:dyDescent="0.3">
      <c r="A18" s="16" t="s">
        <v>268</v>
      </c>
      <c r="B18" s="67">
        <v>499493</v>
      </c>
      <c r="C18" s="68">
        <v>674351</v>
      </c>
      <c r="D18" s="68"/>
    </row>
    <row r="19" spans="1:4" x14ac:dyDescent="0.3">
      <c r="A19" s="16" t="s">
        <v>269</v>
      </c>
      <c r="B19" s="67">
        <v>590081</v>
      </c>
      <c r="C19" s="68">
        <v>613441</v>
      </c>
      <c r="D19" s="68"/>
    </row>
    <row r="20" spans="1:4" x14ac:dyDescent="0.3">
      <c r="A20" s="16" t="s">
        <v>270</v>
      </c>
      <c r="B20" s="67">
        <v>1414039</v>
      </c>
      <c r="C20" s="68">
        <v>948690</v>
      </c>
      <c r="D20" s="68"/>
    </row>
    <row r="21" spans="1:4" x14ac:dyDescent="0.3">
      <c r="A21" s="16" t="s">
        <v>271</v>
      </c>
      <c r="B21" s="67">
        <v>1504382</v>
      </c>
      <c r="C21" s="68">
        <v>11898970</v>
      </c>
      <c r="D21" s="68"/>
    </row>
    <row r="22" spans="1:4" x14ac:dyDescent="0.3">
      <c r="A22" s="16" t="s">
        <v>272</v>
      </c>
      <c r="B22" s="67">
        <v>400606</v>
      </c>
      <c r="C22" s="68">
        <v>760337</v>
      </c>
      <c r="D22" s="68"/>
    </row>
    <row r="23" spans="1:4" x14ac:dyDescent="0.3">
      <c r="A23" s="16" t="s">
        <v>273</v>
      </c>
      <c r="B23" s="67">
        <v>2216740</v>
      </c>
      <c r="C23" s="68">
        <v>11041639</v>
      </c>
      <c r="D23" s="68"/>
    </row>
    <row r="24" spans="1:4" x14ac:dyDescent="0.3">
      <c r="A24" s="16" t="s">
        <v>274</v>
      </c>
      <c r="B24" s="67">
        <v>2999809</v>
      </c>
      <c r="C24" s="68">
        <v>5942834</v>
      </c>
      <c r="D24" s="68"/>
    </row>
    <row r="25" spans="1:4" x14ac:dyDescent="0.3">
      <c r="A25" s="16" t="s">
        <v>275</v>
      </c>
      <c r="B25" s="67">
        <v>2042857</v>
      </c>
      <c r="C25" s="68">
        <v>1049618</v>
      </c>
      <c r="D25" s="68"/>
    </row>
    <row r="26" spans="1:4" x14ac:dyDescent="0.3">
      <c r="A26" s="16" t="s">
        <v>276</v>
      </c>
      <c r="B26" s="67">
        <v>1282819</v>
      </c>
      <c r="C26" s="68">
        <v>4105728</v>
      </c>
      <c r="D26" s="68"/>
    </row>
    <row r="27" spans="1:4" x14ac:dyDescent="0.3">
      <c r="A27" s="16" t="s">
        <v>277</v>
      </c>
      <c r="B27" s="67">
        <v>1306915</v>
      </c>
      <c r="C27" s="68">
        <v>1538338</v>
      </c>
      <c r="D27" s="68"/>
    </row>
    <row r="28" spans="1:4" x14ac:dyDescent="0.3">
      <c r="A28" s="16" t="s">
        <v>278</v>
      </c>
      <c r="B28" s="67">
        <v>1484312</v>
      </c>
      <c r="C28" s="68">
        <v>3623768</v>
      </c>
      <c r="D28" s="68"/>
    </row>
    <row r="29" spans="1:4" x14ac:dyDescent="0.3">
      <c r="A29" s="16" t="s">
        <v>279</v>
      </c>
      <c r="B29" s="67">
        <v>207108</v>
      </c>
      <c r="C29" s="68">
        <v>89636</v>
      </c>
      <c r="D29" s="68"/>
    </row>
    <row r="30" spans="1:4" x14ac:dyDescent="0.3">
      <c r="A30" s="16" t="s">
        <v>280</v>
      </c>
      <c r="B30" s="67">
        <v>295386</v>
      </c>
      <c r="C30" s="68">
        <v>516734</v>
      </c>
      <c r="D30" s="68"/>
    </row>
    <row r="31" spans="1:4" x14ac:dyDescent="0.3">
      <c r="A31" s="16" t="s">
        <v>281</v>
      </c>
      <c r="B31" s="67">
        <v>1503375</v>
      </c>
      <c r="C31" s="68">
        <v>50332</v>
      </c>
      <c r="D31" s="68"/>
    </row>
    <row r="32" spans="1:4" x14ac:dyDescent="0.3">
      <c r="A32" s="16" t="s">
        <v>282</v>
      </c>
      <c r="B32" s="67">
        <v>186517</v>
      </c>
      <c r="C32" s="68">
        <v>68428</v>
      </c>
      <c r="D32" s="68"/>
    </row>
    <row r="33" spans="1:4" x14ac:dyDescent="0.3">
      <c r="A33" s="16" t="s">
        <v>283</v>
      </c>
      <c r="B33" s="67">
        <v>593088</v>
      </c>
      <c r="C33" s="68">
        <v>28186767</v>
      </c>
      <c r="D33" s="68"/>
    </row>
    <row r="34" spans="1:4" x14ac:dyDescent="0.3">
      <c r="A34" s="16" t="s">
        <v>284</v>
      </c>
      <c r="B34" s="67">
        <v>1426444</v>
      </c>
      <c r="C34" s="68">
        <v>10000</v>
      </c>
      <c r="D34" s="68"/>
    </row>
    <row r="35" spans="1:4" x14ac:dyDescent="0.3">
      <c r="A35" s="16" t="s">
        <v>1</v>
      </c>
      <c r="B35" s="67">
        <v>6276963</v>
      </c>
      <c r="C35" s="68">
        <v>95814665</v>
      </c>
      <c r="D35" s="68"/>
    </row>
    <row r="36" spans="1:4" x14ac:dyDescent="0.3">
      <c r="A36" s="16" t="s">
        <v>285</v>
      </c>
      <c r="B36" s="67">
        <v>3835353</v>
      </c>
      <c r="C36" s="68">
        <v>5845582</v>
      </c>
      <c r="D36" s="68"/>
    </row>
    <row r="37" spans="1:4" x14ac:dyDescent="0.3">
      <c r="A37" s="16" t="s">
        <v>286</v>
      </c>
      <c r="B37" s="67">
        <v>100000</v>
      </c>
      <c r="C37" s="68">
        <v>577666</v>
      </c>
      <c r="D37" s="68"/>
    </row>
    <row r="38" spans="1:4" x14ac:dyDescent="0.3">
      <c r="A38" s="16" t="s">
        <v>287</v>
      </c>
      <c r="B38" s="67">
        <v>2726487</v>
      </c>
      <c r="C38" s="68">
        <v>11475700</v>
      </c>
      <c r="D38" s="68"/>
    </row>
    <row r="39" spans="1:4" x14ac:dyDescent="0.3">
      <c r="A39" s="16" t="s">
        <v>288</v>
      </c>
      <c r="B39" s="67">
        <v>1986510</v>
      </c>
      <c r="C39" s="68">
        <v>5771131</v>
      </c>
      <c r="D39" s="68"/>
    </row>
    <row r="40" spans="1:4" x14ac:dyDescent="0.3">
      <c r="A40" s="16" t="s">
        <v>289</v>
      </c>
      <c r="B40" s="67">
        <v>2564273</v>
      </c>
      <c r="C40" s="68">
        <v>36551572</v>
      </c>
      <c r="D40" s="68"/>
    </row>
    <row r="41" spans="1:4" x14ac:dyDescent="0.3">
      <c r="A41" s="16" t="s">
        <v>290</v>
      </c>
      <c r="B41" s="67">
        <v>5124029</v>
      </c>
      <c r="C41" s="68">
        <v>11217343</v>
      </c>
      <c r="D41" s="68"/>
    </row>
    <row r="42" spans="1:4" x14ac:dyDescent="0.3">
      <c r="A42" s="16" t="s">
        <v>291</v>
      </c>
      <c r="B42" s="67">
        <v>372392</v>
      </c>
      <c r="C42" s="68">
        <v>2412953</v>
      </c>
      <c r="D42" s="68"/>
    </row>
    <row r="43" spans="1:4" x14ac:dyDescent="0.3">
      <c r="A43" s="16" t="s">
        <v>292</v>
      </c>
      <c r="B43" s="67">
        <v>1578228</v>
      </c>
      <c r="C43" s="68">
        <v>1384566</v>
      </c>
      <c r="D43" s="68"/>
    </row>
    <row r="44" spans="1:4" x14ac:dyDescent="0.3">
      <c r="A44" s="16" t="s">
        <v>293</v>
      </c>
      <c r="B44" s="67">
        <v>176820</v>
      </c>
      <c r="C44" s="68">
        <v>10000</v>
      </c>
      <c r="D44" s="68"/>
    </row>
    <row r="45" spans="1:4" x14ac:dyDescent="0.3">
      <c r="A45" s="16" t="s">
        <v>294</v>
      </c>
      <c r="B45" s="67">
        <v>2371598</v>
      </c>
      <c r="C45" s="68">
        <v>10548543</v>
      </c>
      <c r="D45" s="68"/>
    </row>
    <row r="46" spans="1:4" x14ac:dyDescent="0.3">
      <c r="A46" s="16" t="s">
        <v>295</v>
      </c>
      <c r="B46" s="67">
        <v>5259331</v>
      </c>
      <c r="C46" s="68">
        <v>9194500</v>
      </c>
      <c r="D46" s="68"/>
    </row>
    <row r="47" spans="1:4" x14ac:dyDescent="0.3">
      <c r="A47" s="16" t="s">
        <v>296</v>
      </c>
      <c r="B47" s="67">
        <v>377464</v>
      </c>
      <c r="C47" s="68">
        <v>34822</v>
      </c>
      <c r="D47" s="68"/>
    </row>
    <row r="48" spans="1:4" x14ac:dyDescent="0.3">
      <c r="A48" s="16" t="s">
        <v>297</v>
      </c>
      <c r="B48" s="67">
        <v>147853</v>
      </c>
      <c r="C48" s="68">
        <v>2677993</v>
      </c>
      <c r="D48" s="68"/>
    </row>
    <row r="49" spans="1:4" x14ac:dyDescent="0.3">
      <c r="A49" s="16" t="s">
        <v>298</v>
      </c>
      <c r="B49" s="67">
        <v>838196</v>
      </c>
      <c r="C49" s="68">
        <v>9393064</v>
      </c>
      <c r="D49" s="68"/>
    </row>
    <row r="50" spans="1:4" x14ac:dyDescent="0.3">
      <c r="A50" s="16" t="s">
        <v>299</v>
      </c>
      <c r="B50" s="67">
        <v>100000</v>
      </c>
      <c r="C50" s="68">
        <v>10000</v>
      </c>
      <c r="D50" s="68"/>
    </row>
    <row r="51" spans="1:4" x14ac:dyDescent="0.3">
      <c r="A51" s="16" t="s">
        <v>300</v>
      </c>
      <c r="B51" s="67">
        <v>2615422</v>
      </c>
      <c r="C51" s="68">
        <v>30566086</v>
      </c>
      <c r="D51" s="68"/>
    </row>
    <row r="52" spans="1:4" x14ac:dyDescent="0.3">
      <c r="A52" s="16" t="s">
        <v>301</v>
      </c>
      <c r="B52" s="67">
        <v>629008</v>
      </c>
      <c r="C52" s="68">
        <v>471918</v>
      </c>
      <c r="D52" s="68"/>
    </row>
    <row r="53" spans="1:4" x14ac:dyDescent="0.3">
      <c r="A53" s="16" t="s">
        <v>302</v>
      </c>
      <c r="B53" s="67">
        <v>1942148</v>
      </c>
      <c r="C53" s="68">
        <v>33794149</v>
      </c>
      <c r="D53" s="68"/>
    </row>
    <row r="54" spans="1:4" x14ac:dyDescent="0.3">
      <c r="A54" s="16" t="s">
        <v>303</v>
      </c>
      <c r="B54" s="67">
        <v>100000</v>
      </c>
      <c r="C54" s="68">
        <v>398871</v>
      </c>
      <c r="D54" s="68"/>
    </row>
    <row r="56" spans="1:4" x14ac:dyDescent="0.3">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a86e0a-8e3a-4eab-af2e-422ae879a662">
      <Terms xmlns="http://schemas.microsoft.com/office/infopath/2007/PartnerControls"/>
    </lcf76f155ced4ddcb4097134ff3c332f>
    <NotesonUse xmlns="85a86e0a-8e3a-4eab-af2e-422ae879a662" xsi:nil="true"/>
    <TaxCatchAll xmlns="73fb875a-8af9-4255-b008-0995492d31cd" xsi:nil="true"/>
    <_dlc_DocId xmlns="8c5343f2-f10a-467e-bae2-c6b43f86b6ef">UZZDYTT6URQT-1534827174-3476</_dlc_DocId>
    <_dlc_DocIdUrl xmlns="8c5343f2-f10a-467e-bae2-c6b43f86b6ef">
      <Url>https://usdagcc.sharepoint.com/sites/FNCS-ROS/FNCS-ROSGeneralCollab/_layouts/15/DocIdRedir.aspx?ID=UZZDYTT6URQT-1534827174-3476</Url>
      <Description>UZZDYTT6URQT-1534827174-3476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1E463603750242BE042A1C3B2080EF" ma:contentTypeVersion="18" ma:contentTypeDescription="Create a new document." ma:contentTypeScope="" ma:versionID="52a84dbcce8f6ea9515a906308a656b9">
  <xsd:schema xmlns:xsd="http://www.w3.org/2001/XMLSchema" xmlns:xs="http://www.w3.org/2001/XMLSchema" xmlns:p="http://schemas.microsoft.com/office/2006/metadata/properties" xmlns:ns2="8c5343f2-f10a-467e-bae2-c6b43f86b6ef" xmlns:ns3="85a86e0a-8e3a-4eab-af2e-422ae879a662" xmlns:ns4="73fb875a-8af9-4255-b008-0995492d31cd" targetNamespace="http://schemas.microsoft.com/office/2006/metadata/properties" ma:root="true" ma:fieldsID="e9dced30ff283e2b95f14a25e1690c9c" ns2:_="" ns3:_="" ns4:_="">
    <xsd:import namespace="8c5343f2-f10a-467e-bae2-c6b43f86b6ef"/>
    <xsd:import namespace="85a86e0a-8e3a-4eab-af2e-422ae879a662"/>
    <xsd:import namespace="73fb875a-8af9-4255-b008-0995492d31c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LengthInSeconds" minOccurs="0"/>
                <xsd:element ref="ns3:NotesonUse"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343f2-f10a-467e-bae2-c6b43f86b6ef"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dexed="true"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a86e0a-8e3a-4eab-af2e-422ae879a66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NotesonUse" ma:index="24" nillable="true" ma:displayName="Notes" ma:format="Dropdown" ma:internalName="NotesonUs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7c83cc1-31aa-415d-a14c-677b5cd24acc}" ma:internalName="TaxCatchAll" ma:showField="CatchAllData" ma:web="8c5343f2-f10a-467e-bae2-c6b43f86b6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29C5A2-5A47-49CE-95CF-41A36848027F}">
  <ds:schemaRefs>
    <ds:schemaRef ds:uri="http://purl.org/dc/dcmitype/"/>
    <ds:schemaRef ds:uri="http://schemas.openxmlformats.org/package/2006/metadata/core-properties"/>
    <ds:schemaRef ds:uri="85a86e0a-8e3a-4eab-af2e-422ae879a662"/>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8c5343f2-f10a-467e-bae2-c6b43f86b6ef"/>
    <ds:schemaRef ds:uri="73fb875a-8af9-4255-b008-0995492d31cd"/>
    <ds:schemaRef ds:uri="http://schemas.microsoft.com/office/2006/metadata/properties"/>
  </ds:schemaRefs>
</ds:datastoreItem>
</file>

<file path=customXml/itemProps2.xml><?xml version="1.0" encoding="utf-8"?>
<ds:datastoreItem xmlns:ds="http://schemas.openxmlformats.org/officeDocument/2006/customXml" ds:itemID="{68C38DCA-7BEB-4356-89C4-AAC81C738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343f2-f10a-467e-bae2-c6b43f86b6ef"/>
    <ds:schemaRef ds:uri="85a86e0a-8e3a-4eab-af2e-422ae879a662"/>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4.xml><?xml version="1.0" encoding="utf-8"?>
<ds:datastoreItem xmlns:ds="http://schemas.openxmlformats.org/officeDocument/2006/customXml" ds:itemID="{7A7E3F71-2AB7-45F1-A5B5-8C3E14CC4BE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Mengesha, Isabelle - FNS</cp:lastModifiedBy>
  <cp:revision/>
  <dcterms:created xsi:type="dcterms:W3CDTF">2019-10-18T16:48:06Z</dcterms:created>
  <dcterms:modified xsi:type="dcterms:W3CDTF">2024-12-20T22:52:56Z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0x010100851E463603750242BE042A1C3B2080EF</vt:lpwstr>
  </property>
  <property fmtid="{D5CDD505-2E9C-101B-9397-08002B2CF9AE}" pid="3" name="_dlc_DocIdItemGuid">
    <vt:lpwstr>890c3f7f-0128-41e9-93cb-1eb43b741dde</vt:lpwstr>
  </property>
  <property fmtid="{D5CDD505-2E9C-101B-9397-08002B2CF9AE}" pid="4" name="MediaServiceImageTags">
    <vt:lpwstr/>
  </property>
</Properties>
</file>