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Z:\State Plans by Year\FY 2025 E&amp;T Plans\Approved Plans\508 Compliant Plans for Website\MN\"/>
    </mc:Choice>
  </mc:AlternateContent>
  <xr:revisionPtr revIDLastSave="0" documentId="8_{32CFD098-71DE-4897-88D0-E04E4D85F4CF}" xr6:coauthVersionLast="47" xr6:coauthVersionMax="47" xr10:uidLastSave="{00000000-0000-0000-0000-000000000000}"/>
  <bookViews>
    <workbookView xWindow="28680" yWindow="-120" windowWidth="29040" windowHeight="15720" firstSheet="4" activeTab="7"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H- Estimated Participant Levels" sheetId="10" r:id="rId7"/>
    <sheet name="SWBL Tool" sheetId="11" r:id="rId8"/>
    <sheet name="FY25 Final Allocations 5-10-24" sheetId="4" state="hidden" r:id="rId9"/>
    <sheet name="lookups" sheetId="3" state="hidden" r:id="rId10"/>
  </sheets>
  <definedNames>
    <definedName name="_xlnm._FilterDatabase" localSheetId="7"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7">'SWBL Tool'!$A$1:$AE$92</definedName>
    <definedName name="_xlnm.Print_Titles" localSheetId="0">'A-Contracts-Partnerships Matrix'!$1:$6</definedName>
    <definedName name="_xlnm.Print_Titles" localSheetId="4">'D- Optional-County Adm Budget'!$1:$8</definedName>
    <definedName name="_xlnm.Print_Titles" localSheetId="7">'SWBL Tool'!$A:$B,'SWBL Tool'!$1:$11</definedName>
    <definedName name="State">'FY25 Final Allocations 5-10-24'!$A$2:$A$54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 r="AE1" i="11"/>
  <c r="D28" i="2" l="1"/>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Z1" i="6"/>
  <c r="G1" i="7"/>
  <c r="F1" i="2"/>
  <c r="I1" i="9"/>
  <c r="W86" i="5" l="1"/>
  <c r="V86" i="5"/>
  <c r="U86" i="5"/>
  <c r="T86" i="5"/>
  <c r="Q86" i="5"/>
  <c r="P86" i="5"/>
  <c r="O86" i="5"/>
  <c r="N86" i="5"/>
  <c r="W85" i="5"/>
  <c r="V85" i="5"/>
  <c r="U85" i="5"/>
  <c r="T85" i="5"/>
  <c r="Q85" i="5"/>
  <c r="P85" i="5"/>
  <c r="O85" i="5"/>
  <c r="N85" i="5"/>
  <c r="W84" i="5"/>
  <c r="V84" i="5"/>
  <c r="U84" i="5"/>
  <c r="T84" i="5"/>
  <c r="Q84" i="5"/>
  <c r="P84" i="5"/>
  <c r="O84" i="5"/>
  <c r="N84" i="5"/>
  <c r="W83" i="5"/>
  <c r="V83" i="5"/>
  <c r="U83" i="5"/>
  <c r="T83" i="5"/>
  <c r="Q83" i="5"/>
  <c r="P83" i="5"/>
  <c r="O83" i="5"/>
  <c r="N83" i="5"/>
  <c r="W82" i="5"/>
  <c r="V82" i="5"/>
  <c r="U82" i="5"/>
  <c r="T82" i="5"/>
  <c r="Q82" i="5"/>
  <c r="P82" i="5"/>
  <c r="O82" i="5"/>
  <c r="N82" i="5"/>
  <c r="W81" i="5"/>
  <c r="V81" i="5"/>
  <c r="U81" i="5"/>
  <c r="T81" i="5"/>
  <c r="Q81" i="5"/>
  <c r="P81" i="5"/>
  <c r="O81" i="5"/>
  <c r="N81" i="5"/>
  <c r="W80" i="5"/>
  <c r="V80" i="5"/>
  <c r="U80" i="5"/>
  <c r="T80" i="5"/>
  <c r="Q80" i="5"/>
  <c r="P80" i="5"/>
  <c r="O80" i="5"/>
  <c r="N80" i="5"/>
  <c r="W79" i="5"/>
  <c r="V79" i="5"/>
  <c r="U79" i="5"/>
  <c r="T79" i="5"/>
  <c r="Q79" i="5"/>
  <c r="P79" i="5"/>
  <c r="O79" i="5"/>
  <c r="N79" i="5"/>
  <c r="W78" i="5"/>
  <c r="V78" i="5"/>
  <c r="U78" i="5"/>
  <c r="T78" i="5"/>
  <c r="Q78" i="5"/>
  <c r="P78" i="5"/>
  <c r="O78" i="5"/>
  <c r="N78" i="5"/>
  <c r="W77" i="5"/>
  <c r="V77" i="5"/>
  <c r="U77" i="5"/>
  <c r="T77" i="5"/>
  <c r="Q77" i="5"/>
  <c r="P77" i="5"/>
  <c r="O77" i="5"/>
  <c r="N77" i="5"/>
  <c r="W76" i="5"/>
  <c r="V76" i="5"/>
  <c r="U76" i="5"/>
  <c r="T76" i="5"/>
  <c r="Q76" i="5"/>
  <c r="P76" i="5"/>
  <c r="O76" i="5"/>
  <c r="N76" i="5"/>
  <c r="W75" i="5"/>
  <c r="V75" i="5"/>
  <c r="U75" i="5"/>
  <c r="T75" i="5"/>
  <c r="Q75" i="5"/>
  <c r="P75" i="5"/>
  <c r="O75" i="5"/>
  <c r="N75" i="5"/>
  <c r="W74" i="5"/>
  <c r="V74" i="5"/>
  <c r="U74" i="5"/>
  <c r="T74" i="5"/>
  <c r="Q74" i="5"/>
  <c r="P74" i="5"/>
  <c r="O74" i="5"/>
  <c r="N74" i="5"/>
  <c r="W73" i="5"/>
  <c r="V73" i="5"/>
  <c r="U73" i="5"/>
  <c r="T73" i="5"/>
  <c r="Q73" i="5"/>
  <c r="P73" i="5"/>
  <c r="O73" i="5"/>
  <c r="N73" i="5"/>
  <c r="W72" i="5"/>
  <c r="V72" i="5"/>
  <c r="U72" i="5"/>
  <c r="T72" i="5"/>
  <c r="Q72" i="5"/>
  <c r="P72" i="5"/>
  <c r="O72" i="5"/>
  <c r="N72" i="5"/>
  <c r="W57" i="5"/>
  <c r="V57" i="5"/>
  <c r="U57" i="5"/>
  <c r="T57" i="5"/>
  <c r="Q57" i="5"/>
  <c r="P57" i="5"/>
  <c r="O57" i="5"/>
  <c r="N57" i="5"/>
  <c r="W56" i="5"/>
  <c r="V56" i="5"/>
  <c r="U56" i="5"/>
  <c r="T56" i="5"/>
  <c r="Q56" i="5"/>
  <c r="P56" i="5"/>
  <c r="O56" i="5"/>
  <c r="N56" i="5"/>
  <c r="W55" i="5"/>
  <c r="V55" i="5"/>
  <c r="U55" i="5"/>
  <c r="T55" i="5"/>
  <c r="Q55" i="5"/>
  <c r="P55" i="5"/>
  <c r="O55" i="5"/>
  <c r="N55" i="5"/>
  <c r="W54" i="5"/>
  <c r="V54" i="5"/>
  <c r="U54" i="5"/>
  <c r="T54" i="5"/>
  <c r="Q54" i="5"/>
  <c r="P54" i="5"/>
  <c r="O54" i="5"/>
  <c r="N54" i="5"/>
  <c r="W53" i="5"/>
  <c r="V53" i="5"/>
  <c r="U53" i="5"/>
  <c r="T53" i="5"/>
  <c r="Q53" i="5"/>
  <c r="P53" i="5"/>
  <c r="O53" i="5"/>
  <c r="N53" i="5"/>
  <c r="W52" i="5"/>
  <c r="V52" i="5"/>
  <c r="U52" i="5"/>
  <c r="T52" i="5"/>
  <c r="Q52" i="5"/>
  <c r="P52" i="5"/>
  <c r="O52" i="5"/>
  <c r="N52" i="5"/>
  <c r="W51" i="5"/>
  <c r="V51" i="5"/>
  <c r="U51" i="5"/>
  <c r="T51" i="5"/>
  <c r="Q51" i="5"/>
  <c r="P51" i="5"/>
  <c r="O51" i="5"/>
  <c r="N51" i="5"/>
  <c r="W50" i="5"/>
  <c r="V50" i="5"/>
  <c r="U50" i="5"/>
  <c r="T50" i="5"/>
  <c r="Q50" i="5"/>
  <c r="P50" i="5"/>
  <c r="O50" i="5"/>
  <c r="N50" i="5"/>
  <c r="W49" i="5"/>
  <c r="V49" i="5"/>
  <c r="U49" i="5"/>
  <c r="T49" i="5"/>
  <c r="Q49" i="5"/>
  <c r="P49" i="5"/>
  <c r="O49" i="5"/>
  <c r="N49" i="5"/>
  <c r="W48" i="5"/>
  <c r="V48" i="5"/>
  <c r="U48" i="5"/>
  <c r="T48" i="5"/>
  <c r="Q48" i="5"/>
  <c r="P48" i="5"/>
  <c r="O48" i="5"/>
  <c r="N48" i="5"/>
  <c r="W47" i="5"/>
  <c r="V47" i="5"/>
  <c r="U47" i="5"/>
  <c r="T47" i="5"/>
  <c r="Q47" i="5"/>
  <c r="P47" i="5"/>
  <c r="O47" i="5"/>
  <c r="N47" i="5"/>
  <c r="W46" i="5"/>
  <c r="V46" i="5"/>
  <c r="U46" i="5"/>
  <c r="T46" i="5"/>
  <c r="Q46" i="5"/>
  <c r="P46" i="5"/>
  <c r="O46" i="5"/>
  <c r="N46" i="5"/>
  <c r="W45" i="5"/>
  <c r="V45" i="5"/>
  <c r="U45" i="5"/>
  <c r="T45" i="5"/>
  <c r="Q45" i="5"/>
  <c r="P45" i="5"/>
  <c r="O45" i="5"/>
  <c r="N45" i="5"/>
  <c r="W44" i="5"/>
  <c r="V44" i="5"/>
  <c r="U44" i="5"/>
  <c r="T44" i="5"/>
  <c r="Q44" i="5"/>
  <c r="P44" i="5"/>
  <c r="O44" i="5"/>
  <c r="N44" i="5"/>
  <c r="W43" i="5"/>
  <c r="V43" i="5"/>
  <c r="U43" i="5"/>
  <c r="T43" i="5"/>
  <c r="Q43" i="5"/>
  <c r="P43" i="5"/>
  <c r="O43" i="5"/>
  <c r="N43" i="5"/>
  <c r="W42" i="5"/>
  <c r="V42" i="5"/>
  <c r="U42" i="5"/>
  <c r="T42" i="5"/>
  <c r="Q42" i="5"/>
  <c r="P42" i="5"/>
  <c r="O42" i="5"/>
  <c r="N42" i="5"/>
  <c r="W41" i="5"/>
  <c r="V41" i="5"/>
  <c r="U41" i="5"/>
  <c r="T41" i="5"/>
  <c r="Q41" i="5"/>
  <c r="P41" i="5"/>
  <c r="O41" i="5"/>
  <c r="N41" i="5"/>
  <c r="W40" i="5"/>
  <c r="V40" i="5"/>
  <c r="U40" i="5"/>
  <c r="T40" i="5"/>
  <c r="Q40" i="5"/>
  <c r="P40" i="5"/>
  <c r="O40" i="5"/>
  <c r="N40" i="5"/>
  <c r="W39" i="5"/>
  <c r="V39" i="5"/>
  <c r="U39" i="5"/>
  <c r="T39" i="5"/>
  <c r="Q39" i="5"/>
  <c r="P39" i="5"/>
  <c r="O39" i="5"/>
  <c r="N39" i="5"/>
  <c r="W38" i="5"/>
  <c r="V38" i="5"/>
  <c r="U38" i="5"/>
  <c r="T38" i="5"/>
  <c r="Q38" i="5"/>
  <c r="P38" i="5"/>
  <c r="O38" i="5"/>
  <c r="N38" i="5"/>
  <c r="W37" i="5"/>
  <c r="V37" i="5"/>
  <c r="U37" i="5"/>
  <c r="T37" i="5"/>
  <c r="Q37" i="5"/>
  <c r="P37" i="5"/>
  <c r="O37" i="5"/>
  <c r="N37" i="5"/>
  <c r="W36" i="5"/>
  <c r="V36" i="5"/>
  <c r="U36" i="5"/>
  <c r="T36" i="5"/>
  <c r="Q36" i="5"/>
  <c r="P36" i="5"/>
  <c r="O36" i="5"/>
  <c r="N36" i="5"/>
  <c r="W35" i="5"/>
  <c r="V35" i="5"/>
  <c r="U35" i="5"/>
  <c r="T35" i="5"/>
  <c r="Q35" i="5"/>
  <c r="P35" i="5"/>
  <c r="O35" i="5"/>
  <c r="N35" i="5"/>
  <c r="W34" i="5"/>
  <c r="V34" i="5"/>
  <c r="U34" i="5"/>
  <c r="T34" i="5"/>
  <c r="Q34" i="5"/>
  <c r="P34" i="5"/>
  <c r="O34" i="5"/>
  <c r="N34" i="5"/>
  <c r="W33" i="5"/>
  <c r="V33" i="5"/>
  <c r="U33" i="5"/>
  <c r="T33" i="5"/>
  <c r="Q33" i="5"/>
  <c r="P33" i="5"/>
  <c r="O33" i="5"/>
  <c r="N33" i="5"/>
  <c r="W32" i="5"/>
  <c r="V32" i="5"/>
  <c r="U32" i="5"/>
  <c r="T32" i="5"/>
  <c r="Q32" i="5"/>
  <c r="P32" i="5"/>
  <c r="O32" i="5"/>
  <c r="N32" i="5"/>
  <c r="W31" i="5"/>
  <c r="V31" i="5"/>
  <c r="U31" i="5"/>
  <c r="T31" i="5"/>
  <c r="Q31" i="5"/>
  <c r="P31" i="5"/>
  <c r="O31" i="5"/>
  <c r="N31" i="5"/>
  <c r="W30" i="5"/>
  <c r="V30" i="5"/>
  <c r="U30" i="5"/>
  <c r="T30" i="5"/>
  <c r="Q30" i="5"/>
  <c r="P30" i="5"/>
  <c r="O30" i="5"/>
  <c r="N30" i="5"/>
  <c r="W29" i="5"/>
  <c r="V29" i="5"/>
  <c r="U29" i="5"/>
  <c r="T29" i="5"/>
  <c r="Q29" i="5"/>
  <c r="P29" i="5"/>
  <c r="O29" i="5"/>
  <c r="N29" i="5"/>
  <c r="W28" i="5"/>
  <c r="V28" i="5"/>
  <c r="U28" i="5"/>
  <c r="T28" i="5"/>
  <c r="Q28" i="5"/>
  <c r="P28" i="5"/>
  <c r="O28" i="5"/>
  <c r="N28" i="5"/>
  <c r="W27" i="5"/>
  <c r="V27" i="5"/>
  <c r="U27" i="5"/>
  <c r="T27" i="5"/>
  <c r="Q27" i="5"/>
  <c r="P27" i="5"/>
  <c r="O27" i="5"/>
  <c r="N27" i="5"/>
  <c r="R27" i="5" l="1"/>
  <c r="R28" i="5"/>
  <c r="R34" i="5"/>
  <c r="R37" i="5"/>
  <c r="R39" i="5"/>
  <c r="R41" i="5"/>
  <c r="R43" i="5"/>
  <c r="R44" i="5"/>
  <c r="R46" i="5"/>
  <c r="R47" i="5"/>
  <c r="R48" i="5"/>
  <c r="R49" i="5"/>
  <c r="R50" i="5"/>
  <c r="R52" i="5"/>
  <c r="R53" i="5"/>
  <c r="R54" i="5"/>
  <c r="R55" i="5"/>
  <c r="R56" i="5"/>
  <c r="R57" i="5"/>
  <c r="R72" i="5"/>
  <c r="R73" i="5"/>
  <c r="R74" i="5"/>
  <c r="R75" i="5"/>
  <c r="R76" i="5"/>
  <c r="R77" i="5"/>
  <c r="R78" i="5"/>
  <c r="R79" i="5"/>
  <c r="R80" i="5"/>
  <c r="R81" i="5"/>
  <c r="R82" i="5"/>
  <c r="R83" i="5"/>
  <c r="R84" i="5"/>
  <c r="R35" i="5"/>
  <c r="R36" i="5"/>
  <c r="R38" i="5"/>
  <c r="R40" i="5"/>
  <c r="R42" i="5"/>
  <c r="R45" i="5"/>
  <c r="R51" i="5"/>
  <c r="R85" i="5"/>
  <c r="R30" i="5"/>
  <c r="R29" i="5"/>
  <c r="X27" i="5"/>
  <c r="X28" i="5"/>
  <c r="X29" i="5"/>
  <c r="X31" i="5"/>
  <c r="X33" i="5"/>
  <c r="X34" i="5"/>
  <c r="X35" i="5"/>
  <c r="X36" i="5"/>
  <c r="X37" i="5"/>
  <c r="X39" i="5"/>
  <c r="X40" i="5"/>
  <c r="X41" i="5"/>
  <c r="X43" i="5"/>
  <c r="X44" i="5"/>
  <c r="X45" i="5"/>
  <c r="X46" i="5"/>
  <c r="X47" i="5"/>
  <c r="X48" i="5"/>
  <c r="X49" i="5"/>
  <c r="X50" i="5"/>
  <c r="X51" i="5"/>
  <c r="X52" i="5"/>
  <c r="X53" i="5"/>
  <c r="X54" i="5"/>
  <c r="X55" i="5"/>
  <c r="X56" i="5"/>
  <c r="X57" i="5"/>
  <c r="X72" i="5"/>
  <c r="X73" i="5"/>
  <c r="X74" i="5"/>
  <c r="X75" i="5"/>
  <c r="X76" i="5"/>
  <c r="X77" i="5"/>
  <c r="X78" i="5"/>
  <c r="X79" i="5"/>
  <c r="X80" i="5"/>
  <c r="X81" i="5"/>
  <c r="X82" i="5"/>
  <c r="X83" i="5"/>
  <c r="X84" i="5"/>
  <c r="X85" i="5"/>
  <c r="X42" i="5"/>
  <c r="X32" i="5"/>
  <c r="R32" i="5"/>
  <c r="R33" i="5"/>
  <c r="R31" i="5"/>
  <c r="X86" i="5"/>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W8" i="5"/>
  <c r="V8" i="5"/>
  <c r="U8" i="5"/>
  <c r="T8" i="5"/>
  <c r="W7" i="5"/>
  <c r="V7" i="5"/>
  <c r="U7" i="5"/>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P7" i="5"/>
  <c r="O7" i="5"/>
  <c r="N7" i="5"/>
  <c r="V4" i="5" l="1"/>
  <c r="X9" i="5"/>
  <c r="Q4" i="5"/>
  <c r="T4" i="5"/>
  <c r="U4" i="5"/>
  <c r="W4" i="5"/>
  <c r="P4" i="5"/>
  <c r="N4" i="5"/>
  <c r="O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R4" i="5" l="1"/>
  <c r="O14" i="3"/>
  <c r="X4" i="5"/>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G6" i="7" s="1"/>
  <c r="Q120" i="6" l="1"/>
  <c r="P120" i="6"/>
  <c r="O120" i="6"/>
  <c r="N120" i="6"/>
  <c r="M120" i="6"/>
  <c r="L120" i="6"/>
  <c r="K120" i="6"/>
  <c r="J120" i="6"/>
  <c r="I120" i="6"/>
  <c r="H120" i="6"/>
  <c r="G120" i="6"/>
  <c r="F120" i="6"/>
  <c r="E120" i="6"/>
  <c r="D120" i="6"/>
  <c r="C120" i="6"/>
  <c r="B120" i="6"/>
  <c r="F117" i="7"/>
  <c r="E117" i="7"/>
  <c r="D117" i="7"/>
  <c r="G117" i="7"/>
  <c r="O16" i="3" l="1"/>
  <c r="O9" i="3"/>
  <c r="O4" i="3"/>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C5" i="2"/>
  <c r="F4" i="5" l="1"/>
  <c r="C9" i="2"/>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l="1"/>
  <c r="C16" i="2"/>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<sst xmlns="http://schemas.openxmlformats.org/spreadsheetml/2006/main" count="585" uniqueCount="416">
  <si>
    <t>State Name (choose from drop down list)</t>
  </si>
  <si>
    <t>MINNESOTA</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</si>
  <si>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</si>
  <si>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</si>
  <si>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</si>
  <si>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</si>
  <si>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</si>
  <si>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</si>
  <si>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</si>
  <si>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</si>
  <si>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</si>
  <si>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</si>
  <si>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</si>
  <si>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</si>
  <si>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</si>
  <si>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</si>
  <si>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</si>
  <si>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</si>
  <si>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</si>
  <si>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</si>
  <si>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</si>
  <si>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</si>
  <si>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</si>
  <si>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</si>
  <si>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</si>
  <si>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</si>
  <si>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</si>
  <si>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</si>
  <si>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</si>
  <si>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DEED-Staff</t>
  </si>
  <si>
    <t>No</t>
  </si>
  <si>
    <t>E&amp;T Services</t>
  </si>
  <si>
    <t>DEED-Contracted Providers</t>
  </si>
  <si>
    <t>Yes</t>
  </si>
  <si>
    <t>American Indian OIC (AIOIC)</t>
  </si>
  <si>
    <t>Arrowhead Economic Opportunity Agency (AEOA)</t>
  </si>
  <si>
    <t>CAPI</t>
  </si>
  <si>
    <t>Central Lakes College</t>
  </si>
  <si>
    <t>Central Minnesota Jobs and Training Center (CMJTS)</t>
  </si>
  <si>
    <t>Goodwill-Easter Seals of MN (GWES)</t>
  </si>
  <si>
    <t>Hired</t>
  </si>
  <si>
    <t>Karen Organization of Mn (KOM)</t>
  </si>
  <si>
    <t>Lakes &amp; Prairies Community Action Partnership, Inc. (CAPLP)</t>
  </si>
  <si>
    <t>Lakes and Pines</t>
  </si>
  <si>
    <t>Mahube-Otwa CAP</t>
  </si>
  <si>
    <t>Minnesota State College Southeast</t>
  </si>
  <si>
    <t>Minnesota Training Partnership (MTP)</t>
  </si>
  <si>
    <t>National Able Network</t>
  </si>
  <si>
    <t>Northwest Indian CDC (NWICDC)</t>
  </si>
  <si>
    <t>Pine Technical and Community College (PTCC)</t>
  </si>
  <si>
    <t>Saint Paul College</t>
  </si>
  <si>
    <t>South Central College</t>
  </si>
  <si>
    <t>MVAC / SouthCentral Workforce Council</t>
  </si>
  <si>
    <t>Southwest Minnesota Private Industry Council, Inc. (SWMNPIC)</t>
  </si>
  <si>
    <t>Tri-County Action Program, Inc.(Tri-CAP)</t>
  </si>
  <si>
    <t>United Community Action Partnership (UCAP)</t>
  </si>
  <si>
    <t>Wildflyer Coffee</t>
  </si>
  <si>
    <t>Workforce Development Inc. (WDI)</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</si>
  <si>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</si>
  <si>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</si>
  <si>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</si>
  <si>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</si>
  <si>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</si>
  <si>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</si>
  <si>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</si>
  <si>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</si>
  <si>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</si>
  <si>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</si>
  <si>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</si>
  <si>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</si>
  <si>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DEED</t>
  </si>
  <si>
    <t>Central Lakes College- META 5</t>
  </si>
  <si>
    <t>Todd, Wadena, Beltrami, Cass, Morrison, Mille Lacs, Douglas, and Crow Wing counties</t>
  </si>
  <si>
    <t>FFY20</t>
  </si>
  <si>
    <t>FFY25</t>
  </si>
  <si>
    <t>Supervised Job Search, Self-Employment Trng, Non-Credentialed Trng, Credentialed Trng, Employability Assessment, Social Services</t>
  </si>
  <si>
    <t>Transportation, Work Clothing, Childcare, all others as needed</t>
  </si>
  <si>
    <t>yes</t>
  </si>
  <si>
    <t>City of Duluth</t>
  </si>
  <si>
    <t>Southern St. Louis County</t>
  </si>
  <si>
    <t>FFY21</t>
  </si>
  <si>
    <t>Supervised Job Search, Self-Employment Trng, Retention Services, Work Readiness Trng, Integrated Education/Trng, Career and/or Tech Edu Programs,  Basic Education, OJT, Internship, Pre-Apprenticeship, Transitional Jobs,  Employability Assessment, Employed, Social Services</t>
  </si>
  <si>
    <t>Lifework Planning Center</t>
  </si>
  <si>
    <t>Blue Earth, Brown, Faribault, Le Sueur, Martin, Nicollet, Sibley, Waseca and Watonwan counties</t>
  </si>
  <si>
    <t>Supervised Job Search, Self-Employment Trng, Non-Crednetialed Trng, Credentialed Trng, Employability Assessment, Social Service</t>
  </si>
  <si>
    <t>no</t>
  </si>
  <si>
    <t>Avivo</t>
  </si>
  <si>
    <t>Anoka, Carver, Dakota, Hennepin, Ramsey, Scott, and Washington Counties</t>
  </si>
  <si>
    <t>FFY24</t>
  </si>
  <si>
    <t>Supervised Job Search, Self-Employment Trng, Non-Credentialed Trng, Credentialed Trng, Employability Assessment, Social Service</t>
  </si>
  <si>
    <t>Hennepin County</t>
  </si>
  <si>
    <t>Jewish Family and Children's Services of Minneapolis</t>
  </si>
  <si>
    <t>FFY 2023</t>
  </si>
  <si>
    <t>FFY 2025</t>
  </si>
  <si>
    <t>Supervised Job Search, Job Search Training, Job Retention Services, Educational Programs, Basic Education and/or Foundational Skills Instruction, Career and/or Technical Education Programs or Other Vocational Training, English Language Acquisition, Integrated Education Training (IET)/Bridge Programs, Work Readiness Training</t>
  </si>
  <si>
    <t>Clothing, Books, IT Equipment, Housing, Transportation, all others as needed</t>
  </si>
  <si>
    <t>Summit Academy OIC</t>
  </si>
  <si>
    <t>FFY 2018</t>
  </si>
  <si>
    <t>Job Search Training, Educational Programs, Career and/or Technical Education Programs or Other Vocational Training,</t>
  </si>
  <si>
    <t>None</t>
  </si>
  <si>
    <t>Hennepin County Department of Community Corrections</t>
  </si>
  <si>
    <t>FFY 2020</t>
  </si>
  <si>
    <t xml:space="preserve">Work Based Learning, Transitional Jobs </t>
  </si>
  <si>
    <t>PPE, Tools</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</si>
  <si>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</si>
  <si>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</si>
  <si>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</si>
  <si>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</si>
  <si>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</si>
  <si>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</si>
  <si>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</si>
  <si>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</si>
  <si>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</si>
  <si>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</si>
  <si>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</si>
  <si>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</si>
  <si>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</si>
  <si>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</si>
  <si>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</si>
  <si>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</si>
  <si>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</si>
  <si>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</si>
  <si>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</si>
  <si>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</si>
  <si>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</si>
  <si>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</si>
  <si>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</si>
  <si>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</si>
  <si>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</si>
  <si>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</si>
  <si>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</si>
  <si>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</si>
  <si>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</si>
  <si>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</si>
  <si>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</si>
  <si>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</si>
  <si>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</si>
  <si>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</si>
  <si>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</si>
  <si>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</si>
  <si>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</si>
  <si>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</si>
  <si>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</si>
  <si>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</si>
  <si>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</si>
  <si>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</si>
  <si>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</si>
  <si>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</si>
  <si>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</si>
  <si>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</si>
  <si>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</si>
  <si>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</si>
  <si>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</si>
  <si>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</si>
  <si>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</si>
  <si>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</si>
  <si>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</si>
  <si>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</si>
  <si>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</si>
  <si>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</si>
  <si>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</si>
  <si>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</si>
  <si>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</si>
  <si>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</si>
  <si>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</si>
  <si>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</si>
  <si>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</si>
  <si>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</si>
  <si>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</si>
  <si>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</si>
  <si>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</si>
  <si>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Minnesota Counties and Tribes Allocated Funds</t>
  </si>
  <si>
    <t>Anoka County</t>
  </si>
  <si>
    <t>Dakota County</t>
  </si>
  <si>
    <t>Washington County</t>
  </si>
  <si>
    <t>Clearwater County</t>
  </si>
  <si>
    <t>x</t>
  </si>
  <si>
    <t>No E&amp;T services offered</t>
  </si>
  <si>
    <t>Fillmore County</t>
  </si>
  <si>
    <t>Freeborn County</t>
  </si>
  <si>
    <t>Not enough funding available</t>
  </si>
  <si>
    <t>Hubbard County</t>
  </si>
  <si>
    <t>Lake of the Woods County</t>
  </si>
  <si>
    <t>Mahnomen County</t>
  </si>
  <si>
    <t>Norman County</t>
  </si>
  <si>
    <t>Olmsted County</t>
  </si>
  <si>
    <t>Pine County</t>
  </si>
  <si>
    <t>Ramsey County</t>
  </si>
  <si>
    <t>Rice County</t>
  </si>
  <si>
    <t>Winona County</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</si>
  <si>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</si>
  <si>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</si>
  <si>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</si>
  <si>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</si>
  <si>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</si>
  <si>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</si>
  <si>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</si>
  <si>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</si>
  <si>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</si>
  <si>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</si>
  <si>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</si>
  <si>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EPC</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</si>
  <si>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</si>
  <si>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</si>
  <si>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</si>
  <si>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</si>
  <si>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</si>
  <si>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</si>
  <si>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</si>
  <si>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</si>
  <si>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</si>
  <si>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</si>
  <si>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</si>
  <si>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</si>
  <si>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</si>
  <si>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</si>
  <si>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</si>
  <si>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</si>
  <si>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</si>
  <si>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</si>
  <si>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</si>
  <si>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</si>
  <si>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</si>
  <si>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</si>
  <si>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</si>
  <si>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</si>
  <si>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</si>
  <si>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</si>
  <si>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</si>
  <si>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</si>
  <si>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</si>
  <si>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</si>
  <si>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</si>
  <si>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</si>
  <si>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</si>
  <si>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</si>
  <si>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</si>
  <si>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</si>
  <si>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</si>
  <si>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</si>
  <si>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</si>
  <si>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</si>
  <si>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</si>
  <si>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</si>
  <si>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</si>
  <si>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</si>
  <si>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</si>
  <si>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</si>
  <si>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</si>
  <si>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</si>
  <si>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</si>
  <si>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</si>
  <si>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</si>
  <si>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</si>
  <si>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</si>
  <si>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</si>
  <si>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</si>
  <si>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</si>
  <si>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</si>
  <si>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</si>
  <si>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</si>
  <si>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</si>
  <si>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</si>
  <si>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</si>
  <si>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</si>
  <si>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</si>
  <si>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</si>
  <si>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</si>
  <si>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</si>
  <si>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</si>
  <si>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</si>
  <si>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</si>
  <si>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</si>
  <si>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</si>
  <si>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</si>
  <si>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</si>
  <si>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</si>
  <si>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</si>
  <si>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</si>
  <si>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</si>
  <si>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</si>
  <si>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</si>
  <si>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</si>
  <si>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</si>
  <si>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</si>
  <si>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</si>
  <si>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</si>
  <si>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</si>
  <si>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</si>
  <si>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</si>
  <si>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</si>
  <si>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STATE</t>
  </si>
  <si>
    <t>FY 2025 FINAL 100% E&amp;T GRANT - 5/10/24</t>
  </si>
  <si>
    <t>FY 2024 50% Federal Reimbursement Target (5/10/24)</t>
  </si>
  <si>
    <t>ABAWD Pledge Grant (To be detetermined after Plans approved)</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</si>
  <si>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</si>
  <si>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</si>
  <si>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</si>
  <si>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</si>
  <si>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</si>
  <si>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</si>
  <si>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</si>
  <si>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</si>
  <si>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</si>
  <si>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</si>
  <si>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</si>
  <si>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</si>
  <si>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</si>
  <si>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</si>
  <si>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</si>
  <si>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</si>
  <si>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</si>
  <si>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</si>
  <si>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</si>
  <si>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</si>
  <si>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</si>
  <si>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</si>
  <si>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</si>
  <si>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</si>
  <si>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</si>
  <si>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</si>
  <si>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</si>
  <si>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</si>
  <si>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</si>
  <si>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</si>
  <si>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</si>
  <si>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</si>
  <si>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</si>
  <si>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</si>
  <si>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</si>
  <si>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</si>
  <si>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</si>
  <si>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</si>
  <si>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</si>
  <si>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</si>
  <si>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</si>
  <si>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</si>
  <si>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</si>
  <si>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</si>
  <si>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</si>
  <si>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</si>
  <si>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</si>
  <si>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VIRGIN ISLANDS</t>
  </si>
  <si>
    <t>WASHINGTON</t>
  </si>
  <si>
    <t>WEST VIRGINIA</t>
  </si>
  <si>
    <t>WISCONSIN</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</si>
  <si>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</si>
  <si>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</si>
  <si>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</si>
  <si>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</si>
  <si>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</si>
  <si>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</si>
  <si>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</si>
  <si>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</si>
  <si>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</si>
  <si>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</si>
  <si>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</si>
  <si>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</si>
  <si>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</si>
  <si>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Consulting</t>
  </si>
  <si>
    <t>Internship (WBLI-Sub)</t>
  </si>
  <si>
    <t>If 100 Percent Federal funds are used</t>
  </si>
  <si>
    <t>Attainment of Certificate/Credential</t>
  </si>
  <si>
    <t>State agency</t>
  </si>
  <si>
    <t xml:space="preserve">E&amp;T Provider is employer of record and receives wage subsidy as employer </t>
  </si>
  <si>
    <t>Construction</t>
  </si>
  <si>
    <t>1 month</t>
  </si>
  <si>
    <t>Tab A - Column C - 100% Adm</t>
  </si>
  <si>
    <t>FY2021</t>
  </si>
  <si>
    <t>Pre-Apprenticeship (WBLPA-Sub)</t>
  </si>
  <si>
    <t>If 50/50 Funds are used</t>
  </si>
  <si>
    <t>Basic Skills Gain</t>
  </si>
  <si>
    <t>E&amp;T Provider</t>
  </si>
  <si>
    <t>E&amp;T Provider is Intermediary between SA and 1 or more employers</t>
  </si>
  <si>
    <t>Education</t>
  </si>
  <si>
    <t>2 months</t>
  </si>
  <si>
    <t>Tab B - Federal share State Direct Costs + Indirect less  Non-Fed Share of State Direct Costs and Indirect</t>
  </si>
  <si>
    <t>FY2022</t>
  </si>
  <si>
    <t>Automation/IT</t>
  </si>
  <si>
    <t>Apprenticeship (WBLA-Sub)</t>
  </si>
  <si>
    <t>Industry Skills Gain</t>
  </si>
  <si>
    <t>Worksite Employer</t>
  </si>
  <si>
    <t>SA contracts with both E&amp;T Provider and Employers</t>
  </si>
  <si>
    <t>Foodservice</t>
  </si>
  <si>
    <t>3 months</t>
  </si>
  <si>
    <t>Tab E - Optional County 100% Adm</t>
  </si>
  <si>
    <t>FY2023</t>
  </si>
  <si>
    <t>Marketing</t>
  </si>
  <si>
    <t>Transitional Jobs (WBLTJ-Sub)</t>
  </si>
  <si>
    <t>Healthcare services</t>
  </si>
  <si>
    <t>4 months</t>
  </si>
  <si>
    <t>Total Admin costs to distribute across 100 Percent Federal Funds</t>
  </si>
  <si>
    <t>FY2024</t>
  </si>
  <si>
    <t>Other</t>
  </si>
  <si>
    <t>Landscape and Horticultural</t>
  </si>
  <si>
    <t>5 months</t>
  </si>
  <si>
    <t>50 Percent Federal Admin</t>
  </si>
  <si>
    <t>Leisure and hospitality</t>
  </si>
  <si>
    <t>6 months</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</si>
  <si>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</si>
  <si>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</si>
  <si>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</si>
  <si>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</si>
  <si>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</si>
  <si>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</si>
  <si>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Transportation and warehousing</t>
  </si>
  <si>
    <t>Amount Budgeted Over available 100 percent funds  (Column E9), distributed equally to Federal and Non-Federal</t>
  </si>
  <si>
    <t>Multiple Industries</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</si>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</sst>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
      <sz val="11"/>
      <color rgb="FF000000"/>
      <name val="Times New Roman"/>
      <family val="1"/>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77">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4" fillId="0" borderId="7" xfId="0" applyFont="1" applyBorder="1" applyAlignment="1" applyProtection="1">
      <alignment wrapText="1"/>
      <protection locked="0"/>
    </xf>
    <xf numFmtId="0" fontId="14" fillId="0" borderId="6" xfId="0" applyFont="1" applyBorder="1" applyAlignment="1" applyProtection="1">
      <alignment wrapText="1"/>
      <protection locked="0"/>
    </xf>
    <xf numFmtId="0" fontId="14" fillId="0" borderId="6" xfId="0" applyFont="1" applyBorder="1" applyProtection="1">
      <protection locked="0"/>
    </xf>
    <xf numFmtId="0" fontId="14" fillId="0" borderId="18" xfId="0" applyFont="1" applyBorder="1" applyAlignment="1" applyProtection="1">
      <alignment wrapText="1"/>
      <protection locked="0"/>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0" fontId="4" fillId="0" borderId="4" xfId="0" applyFont="1" applyBorder="1" applyAlignment="1">
      <alignment horizontal="center"/>
    </xf>
    <xf numFmtId="0" fontId="4" fillId="0" borderId="0" xfId="0" applyFont="1" applyAlignment="1">
      <alignment horizontal="center"/>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4" fillId="0" borderId="4" xfId="0" applyFont="1" applyBorder="1" applyAlignment="1">
      <alignment horizontal="center" wrapText="1"/>
    </xf>
    <xf numFmtId="0" fontId="4" fillId="0" borderId="5" xfId="0" applyFont="1" applyBorder="1" applyAlignment="1">
      <alignment horizontal="center"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5" xfId="0" applyFont="1" applyBorder="1" applyAlignment="1">
      <alignment horizontal="left" wrapText="1"/>
    </xf>
    <xf numFmtId="0" fontId="7" fillId="0" borderId="6" xfId="0" applyFont="1" applyBorder="1" applyAlignment="1">
      <alignment horizontal="center" wrapText="1"/>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7" fillId="2" borderId="31" xfId="0" applyFont="1" applyFill="1" applyBorder="1" applyAlignment="1">
      <alignment horizontal="left"/>
    </xf>
    <xf numFmtId="0" fontId="7" fillId="2" borderId="32" xfId="0" applyFont="1" applyFill="1" applyBorder="1" applyAlignment="1">
      <alignment horizontal="left"/>
    </xf>
    <xf numFmtId="0" fontId="7" fillId="2" borderId="33" xfId="0" applyFont="1" applyFill="1" applyBorder="1" applyAlignment="1">
      <alignment horizontal="left"/>
    </xf>
    <xf numFmtId="0" fontId="12" fillId="0" borderId="25" xfId="0" applyFont="1" applyBorder="1" applyAlignment="1">
      <alignment horizontal="left"/>
    </xf>
    <xf numFmtId="0" fontId="12" fillId="0" borderId="7" xfId="0" applyFont="1" applyBorder="1" applyAlignment="1">
      <alignment horizontal="left"/>
    </xf>
    <xf numFmtId="0" fontId="12" fillId="0" borderId="6" xfId="0" applyFont="1" applyBorder="1" applyAlignment="1">
      <alignment horizontal="left"/>
    </xf>
    <xf numFmtId="0" fontId="12" fillId="0" borderId="8" xfId="0" applyFont="1" applyBorder="1" applyAlignment="1">
      <alignment horizontal="left"/>
    </xf>
    <xf numFmtId="0" fontId="12" fillId="0" borderId="20" xfId="0" applyFont="1" applyBorder="1" applyAlignment="1">
      <alignment horizontal="left"/>
    </xf>
    <xf numFmtId="0" fontId="12" fillId="0" borderId="16" xfId="0" applyFont="1" applyBorder="1" applyAlignment="1">
      <alignment horizontal="left"/>
    </xf>
    <xf numFmtId="0" fontId="12" fillId="0" borderId="4" xfId="0" applyFont="1" applyBorder="1" applyAlignment="1">
      <alignment horizontal="left"/>
    </xf>
    <xf numFmtId="0" fontId="5" fillId="0" borderId="0" xfId="0" applyFont="1" applyAlignment="1">
      <alignment horizontal="left"/>
    </xf>
    <xf numFmtId="0" fontId="5" fillId="0" borderId="5" xfId="0" applyFont="1" applyBorder="1" applyAlignment="1">
      <alignment horizontal="left"/>
    </xf>
    <xf numFmtId="0" fontId="7" fillId="0" borderId="6" xfId="0" applyFont="1" applyBorder="1" applyAlignment="1">
      <alignment horizontal="center"/>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zoomScale="86" zoomScaleNormal="86" workbookViewId="0">
      <selection activeCell="E29" sqref="E29"/>
    </sheetView>
  </sheetViews>
  <sheetFormatPr defaultColWidth="8.77734375" defaultRowHeight="13.8" x14ac:dyDescent="0.25"/>
  <cols>
    <col min="1" max="1" width="35.21875" style="24" customWidth="1"/>
    <col min="2" max="2" width="7.21875" style="24" customWidth="1"/>
    <col min="3" max="3" width="13.21875" style="24" customWidth="1"/>
    <col min="4" max="4" width="11.44140625" style="80" customWidth="1"/>
    <col min="5" max="5" width="22.77734375" style="80" customWidth="1"/>
    <col min="6" max="8" width="22.77734375" style="24" customWidth="1"/>
    <col min="9" max="10" width="16.77734375" style="24" customWidth="1"/>
    <col min="11" max="11" width="14.21875" style="107" customWidth="1"/>
    <col min="12" max="13" width="8.77734375" style="24"/>
    <col min="14" max="17" width="13.21875" style="24" customWidth="1"/>
    <col min="18" max="18" width="15.21875" style="24" customWidth="1"/>
    <col min="19" max="19" width="8.77734375" style="24"/>
    <col min="20" max="24" width="13.21875" style="24" customWidth="1"/>
    <col min="25" max="16384" width="8.77734375" style="24"/>
  </cols>
  <sheetData>
    <row r="1" spans="1:24" ht="28.2" thickBot="1" x14ac:dyDescent="0.3">
      <c r="A1" s="44" t="s">
        <v>0</v>
      </c>
      <c r="B1" s="78" t="s">
        <v>1</v>
      </c>
      <c r="C1" s="79"/>
      <c r="E1" s="81"/>
      <c r="F1" s="39"/>
      <c r="G1" s="39"/>
      <c r="H1" s="39"/>
      <c r="I1" s="40" t="s">
        <v>2</v>
      </c>
      <c r="J1" s="78" t="s">
        <v>3</v>
      </c>
      <c r="K1" s="82"/>
      <c r="N1" s="335" t="s">
        <v>4</v>
      </c>
      <c r="O1" s="336"/>
      <c r="P1" s="336"/>
      <c r="Q1" s="336"/>
      <c r="R1" s="336"/>
      <c r="S1" s="336"/>
      <c r="T1" s="336"/>
      <c r="U1" s="336"/>
      <c r="V1" s="336"/>
      <c r="W1" s="336"/>
      <c r="X1" s="337"/>
    </row>
    <row r="2" spans="1:24" ht="15.6" x14ac:dyDescent="0.3">
      <c r="A2" s="318" t="s">
        <v>5</v>
      </c>
      <c r="B2" s="319"/>
      <c r="C2" s="319"/>
      <c r="D2" s="319"/>
      <c r="E2" s="319"/>
      <c r="F2" s="319"/>
      <c r="G2" s="319"/>
      <c r="H2" s="319"/>
      <c r="I2" s="319"/>
      <c r="J2" s="319"/>
      <c r="K2" s="83"/>
      <c r="N2" s="338" t="s">
        <v>6</v>
      </c>
      <c r="O2" s="339"/>
      <c r="P2" s="339"/>
      <c r="Q2" s="339"/>
      <c r="R2" s="340"/>
      <c r="T2" s="338" t="s">
        <v>7</v>
      </c>
      <c r="U2" s="339"/>
      <c r="V2" s="339"/>
      <c r="W2" s="339"/>
      <c r="X2" s="340"/>
    </row>
    <row r="3" spans="1:24" ht="25.2" customHeight="1" thickBot="1" x14ac:dyDescent="0.35">
      <c r="A3" s="367" t="s">
        <v>8</v>
      </c>
      <c r="B3" s="308"/>
      <c r="C3" s="308"/>
      <c r="D3" s="308"/>
      <c r="E3" s="308"/>
      <c r="F3" s="308"/>
      <c r="G3" s="308"/>
      <c r="H3" s="308"/>
      <c r="I3" s="308"/>
      <c r="J3" s="308"/>
      <c r="K3" s="309"/>
      <c r="N3" s="341" t="s">
        <v>9</v>
      </c>
      <c r="O3" s="342"/>
      <c r="P3" s="342"/>
      <c r="Q3" s="342"/>
      <c r="R3" s="343"/>
      <c r="T3" s="341" t="s">
        <v>10</v>
      </c>
      <c r="U3" s="342"/>
      <c r="V3" s="342"/>
      <c r="W3" s="342"/>
      <c r="X3" s="343"/>
    </row>
    <row r="4" spans="1:24" s="188" customFormat="1" ht="18" customHeight="1" x14ac:dyDescent="0.3">
      <c r="A4" s="189" t="s">
        <v>11</v>
      </c>
      <c r="B4" s="186"/>
      <c r="C4" s="186"/>
      <c r="D4" s="190">
        <f>SUM(D7:D103)</f>
        <v>171380.87</v>
      </c>
      <c r="E4" s="190">
        <f t="shared" ref="E4:H4" si="0">SUM(E7:E103)</f>
        <v>4489125.4230000004</v>
      </c>
      <c r="F4" s="190">
        <f t="shared" si="0"/>
        <v>4660506.2930000005</v>
      </c>
      <c r="G4" s="190">
        <f t="shared" si="0"/>
        <v>1356115.75</v>
      </c>
      <c r="H4" s="190">
        <f t="shared" si="0"/>
        <v>6016622.0429999987</v>
      </c>
      <c r="I4" s="186"/>
      <c r="J4" s="190">
        <f>SUM(J7:J103)</f>
        <v>1266</v>
      </c>
      <c r="K4" s="187"/>
      <c r="N4" s="190">
        <f t="shared" ref="N4:R4" si="1">SUM(N7:N103)</f>
        <v>0</v>
      </c>
      <c r="O4" s="190">
        <f t="shared" si="1"/>
        <v>0</v>
      </c>
      <c r="P4" s="190">
        <f t="shared" si="1"/>
        <v>2244562.7115000002</v>
      </c>
      <c r="Q4" s="190">
        <f t="shared" si="1"/>
        <v>2244562.7115000002</v>
      </c>
      <c r="R4" s="190">
        <f t="shared" si="1"/>
        <v>4489125.4230000004</v>
      </c>
      <c r="T4" s="190">
        <f t="shared" ref="T4:X4" si="2">SUM(T7:T103)</f>
        <v>0</v>
      </c>
      <c r="U4" s="190">
        <f t="shared" si="2"/>
        <v>0</v>
      </c>
      <c r="V4" s="190">
        <f t="shared" si="2"/>
        <v>678057.875</v>
      </c>
      <c r="W4" s="190">
        <f t="shared" si="2"/>
        <v>678057.875</v>
      </c>
      <c r="X4" s="190">
        <f t="shared" si="2"/>
        <v>1356115.75</v>
      </c>
    </row>
    <row r="5" spans="1:24" ht="18" customHeight="1" x14ac:dyDescent="0.3">
      <c r="A5" s="307"/>
      <c r="B5" s="308"/>
      <c r="C5" s="308"/>
      <c r="D5" s="308"/>
      <c r="E5" s="308"/>
      <c r="F5" s="308"/>
      <c r="G5" s="308"/>
      <c r="H5" s="308"/>
      <c r="I5" s="308"/>
      <c r="J5" s="308"/>
      <c r="K5" s="309"/>
      <c r="N5" s="183"/>
      <c r="O5" s="184"/>
      <c r="P5" s="184"/>
      <c r="Q5" s="184"/>
      <c r="R5" s="184"/>
      <c r="T5" s="184"/>
      <c r="U5" s="184"/>
      <c r="V5" s="184"/>
      <c r="W5" s="184"/>
      <c r="X5" s="185"/>
    </row>
    <row r="6" spans="1:24" s="84" customFormat="1" ht="117.75" customHeight="1" x14ac:dyDescent="0.25">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x14ac:dyDescent="0.25">
      <c r="A7" s="97" t="s">
        <v>29</v>
      </c>
      <c r="B7" s="93" t="s">
        <v>30</v>
      </c>
      <c r="C7" s="93" t="s">
        <v>31</v>
      </c>
      <c r="D7" s="94">
        <v>171380.87</v>
      </c>
      <c r="E7" s="94"/>
      <c r="F7" s="88">
        <f>SUM(D7:E7)</f>
        <v>171380.87</v>
      </c>
      <c r="G7" s="94">
        <v>0</v>
      </c>
      <c r="H7" s="88">
        <f>SUM(F7:G7)</f>
        <v>171380.87</v>
      </c>
      <c r="I7" s="89">
        <f>SUM(H7/'B - Operating Budget'!$D$40)</f>
        <v>1.8385340358054367E-2</v>
      </c>
      <c r="J7" s="95">
        <v>0</v>
      </c>
      <c r="K7" s="96" t="s">
        <v>30</v>
      </c>
      <c r="N7" s="90">
        <f>IF($K7="yes",SUM($E7*0.75),0)</f>
        <v>0</v>
      </c>
      <c r="O7" s="91">
        <f>IF($K7="yes",SUM($E7*0.25),0)</f>
        <v>0</v>
      </c>
      <c r="P7" s="91">
        <f>IF($K7="no",SUM($E7*0.5),0)</f>
        <v>0</v>
      </c>
      <c r="Q7" s="91">
        <f>IF($K7="no",SUM($E7*0.5),0)</f>
        <v>0</v>
      </c>
      <c r="R7" s="91">
        <f>SUM(N7:Q7)</f>
        <v>0</v>
      </c>
      <c r="T7" s="91">
        <f>IF($K7="yes",SUM($G7*0.75),0)</f>
        <v>0</v>
      </c>
      <c r="U7" s="91">
        <f>IF($K7="yes",SUM($G7*0.25),0)</f>
        <v>0</v>
      </c>
      <c r="V7" s="91">
        <f>IF($K7="no",SUM($G7*0.5),0)</f>
        <v>0</v>
      </c>
      <c r="W7" s="91">
        <f>IF($K7="no",SUM($G7*0.5),0)</f>
        <v>0</v>
      </c>
      <c r="X7" s="92">
        <f>SUM(T7:W7)</f>
        <v>0</v>
      </c>
    </row>
    <row r="8" spans="1:24" x14ac:dyDescent="0.25">
      <c r="A8" s="97" t="s">
        <v>32</v>
      </c>
      <c r="B8" s="93" t="s">
        <v>33</v>
      </c>
      <c r="C8" s="93" t="s">
        <v>31</v>
      </c>
      <c r="D8" s="94"/>
      <c r="E8" s="94">
        <v>605264</v>
      </c>
      <c r="F8" s="88">
        <f>SUM(D8:E8)</f>
        <v>605264</v>
      </c>
      <c r="G8" s="94">
        <v>182964</v>
      </c>
      <c r="H8" s="88">
        <f t="shared" ref="H8:H103" si="3">SUM(F8:G8)</f>
        <v>788228</v>
      </c>
      <c r="I8" s="89">
        <f>SUM(H8/'B - Operating Budget'!$D$40)</f>
        <v>8.4559263001456803E-2</v>
      </c>
      <c r="J8" s="95">
        <v>122</v>
      </c>
      <c r="K8" s="96" t="s">
        <v>30</v>
      </c>
      <c r="N8" s="90">
        <f t="shared" ref="N8:N103" si="4">IF($K8="yes",SUM($E8*0.75),0)</f>
        <v>0</v>
      </c>
      <c r="O8" s="91">
        <f t="shared" ref="O8:O103" si="5">IF($K8="yes",SUM($E8*0.25),0)</f>
        <v>0</v>
      </c>
      <c r="P8" s="91">
        <f t="shared" ref="P8:Q23" si="6">IF($K8="no",SUM($E8*0.5),0)</f>
        <v>302632</v>
      </c>
      <c r="Q8" s="91">
        <f t="shared" si="6"/>
        <v>302632</v>
      </c>
      <c r="R8" s="91">
        <f t="shared" ref="R8:R19" si="7">SUM(N8:Q8)</f>
        <v>605264</v>
      </c>
      <c r="T8" s="91">
        <f t="shared" ref="T8:T103" si="8">IF($K8="yes",SUM($G8*0.75),0)</f>
        <v>0</v>
      </c>
      <c r="U8" s="91">
        <f t="shared" ref="U8:U103" si="9">IF($K8="yes",SUM($G8*0.25),0)</f>
        <v>0</v>
      </c>
      <c r="V8" s="91">
        <f t="shared" ref="V8:W72" si="10">IF($K8="no",SUM($G8*0.5),0)</f>
        <v>91482</v>
      </c>
      <c r="W8" s="91">
        <f t="shared" si="10"/>
        <v>91482</v>
      </c>
      <c r="X8" s="92">
        <f t="shared" ref="X8:X103" si="11">SUM(T8:W8)</f>
        <v>182964</v>
      </c>
    </row>
    <row r="9" spans="1:24" x14ac:dyDescent="0.25">
      <c r="A9" s="97" t="s">
        <v>34</v>
      </c>
      <c r="B9" s="93" t="s">
        <v>30</v>
      </c>
      <c r="C9" s="93" t="s">
        <v>31</v>
      </c>
      <c r="D9" s="94"/>
      <c r="E9" s="94">
        <v>155537</v>
      </c>
      <c r="F9" s="88">
        <f t="shared" ref="F9:F103" si="12">SUM(D9:E9)</f>
        <v>155537</v>
      </c>
      <c r="G9" s="94">
        <v>12845</v>
      </c>
      <c r="H9" s="88">
        <f t="shared" si="3"/>
        <v>168382</v>
      </c>
      <c r="I9" s="89">
        <f>SUM(H9/'B - Operating Budget'!$D$40)</f>
        <v>1.8063628572838442E-2</v>
      </c>
      <c r="J9" s="95">
        <v>30</v>
      </c>
      <c r="K9" s="96" t="s">
        <v>30</v>
      </c>
      <c r="N9" s="90">
        <f t="shared" si="4"/>
        <v>0</v>
      </c>
      <c r="O9" s="91">
        <f t="shared" si="5"/>
        <v>0</v>
      </c>
      <c r="P9" s="91">
        <f t="shared" si="6"/>
        <v>77768.5</v>
      </c>
      <c r="Q9" s="91">
        <f t="shared" si="6"/>
        <v>77768.5</v>
      </c>
      <c r="R9" s="91">
        <f t="shared" si="7"/>
        <v>155537</v>
      </c>
      <c r="T9" s="91">
        <f t="shared" si="8"/>
        <v>0</v>
      </c>
      <c r="U9" s="91">
        <f t="shared" si="9"/>
        <v>0</v>
      </c>
      <c r="V9" s="91">
        <f t="shared" si="10"/>
        <v>6422.5</v>
      </c>
      <c r="W9" s="91">
        <f t="shared" si="10"/>
        <v>6422.5</v>
      </c>
      <c r="X9" s="92">
        <f t="shared" si="11"/>
        <v>12845</v>
      </c>
    </row>
    <row r="10" spans="1:24" ht="27.6" x14ac:dyDescent="0.25">
      <c r="A10" s="97" t="s">
        <v>35</v>
      </c>
      <c r="B10" s="93" t="s">
        <v>30</v>
      </c>
      <c r="C10" s="93" t="s">
        <v>31</v>
      </c>
      <c r="D10" s="94"/>
      <c r="E10" s="94">
        <v>79233</v>
      </c>
      <c r="F10" s="88">
        <f t="shared" si="12"/>
        <v>79233</v>
      </c>
      <c r="G10" s="94">
        <v>151915</v>
      </c>
      <c r="H10" s="88">
        <f t="shared" si="3"/>
        <v>231148</v>
      </c>
      <c r="I10" s="89">
        <f>SUM(H10/'B - Operating Budget'!$D$40)</f>
        <v>2.4797018786773289E-2</v>
      </c>
      <c r="J10" s="95">
        <v>75</v>
      </c>
      <c r="K10" s="96" t="s">
        <v>30</v>
      </c>
      <c r="N10" s="90">
        <f t="shared" si="4"/>
        <v>0</v>
      </c>
      <c r="O10" s="91">
        <f t="shared" si="5"/>
        <v>0</v>
      </c>
      <c r="P10" s="91">
        <f t="shared" si="6"/>
        <v>39616.5</v>
      </c>
      <c r="Q10" s="91">
        <f t="shared" si="6"/>
        <v>39616.5</v>
      </c>
      <c r="R10" s="91">
        <f t="shared" si="7"/>
        <v>79233</v>
      </c>
      <c r="T10" s="91">
        <f t="shared" si="8"/>
        <v>0</v>
      </c>
      <c r="U10" s="91">
        <f t="shared" si="9"/>
        <v>0</v>
      </c>
      <c r="V10" s="91">
        <f t="shared" si="10"/>
        <v>75957.5</v>
      </c>
      <c r="W10" s="91">
        <f t="shared" si="10"/>
        <v>75957.5</v>
      </c>
      <c r="X10" s="92">
        <f t="shared" si="11"/>
        <v>151915</v>
      </c>
    </row>
    <row r="11" spans="1:24" x14ac:dyDescent="0.25">
      <c r="A11" s="97" t="s">
        <v>36</v>
      </c>
      <c r="B11" s="93" t="s">
        <v>30</v>
      </c>
      <c r="C11" s="93" t="s">
        <v>31</v>
      </c>
      <c r="D11" s="94"/>
      <c r="E11" s="94">
        <v>108945.5</v>
      </c>
      <c r="F11" s="88">
        <f t="shared" si="12"/>
        <v>108945.5</v>
      </c>
      <c r="G11" s="94">
        <v>24472.75</v>
      </c>
      <c r="H11" s="88">
        <f t="shared" si="3"/>
        <v>133418.25</v>
      </c>
      <c r="I11" s="89">
        <f>SUM(H11/'B - Operating Budget'!$D$40)</f>
        <v>1.4312798950232818E-2</v>
      </c>
      <c r="J11" s="95">
        <v>20</v>
      </c>
      <c r="K11" s="96" t="s">
        <v>30</v>
      </c>
      <c r="N11" s="90">
        <f t="shared" si="4"/>
        <v>0</v>
      </c>
      <c r="O11" s="91">
        <f t="shared" si="5"/>
        <v>0</v>
      </c>
      <c r="P11" s="91">
        <f t="shared" si="6"/>
        <v>54472.75</v>
      </c>
      <c r="Q11" s="91">
        <f t="shared" si="6"/>
        <v>54472.75</v>
      </c>
      <c r="R11" s="91">
        <f t="shared" si="7"/>
        <v>108945.5</v>
      </c>
      <c r="T11" s="91">
        <f t="shared" si="8"/>
        <v>0</v>
      </c>
      <c r="U11" s="91">
        <f t="shared" si="9"/>
        <v>0</v>
      </c>
      <c r="V11" s="91">
        <f t="shared" si="10"/>
        <v>12236.375</v>
      </c>
      <c r="W11" s="91">
        <f t="shared" si="10"/>
        <v>12236.375</v>
      </c>
      <c r="X11" s="92">
        <f t="shared" si="11"/>
        <v>24472.75</v>
      </c>
    </row>
    <row r="12" spans="1:24" x14ac:dyDescent="0.25">
      <c r="A12" s="97" t="s">
        <v>37</v>
      </c>
      <c r="B12" s="93" t="s">
        <v>30</v>
      </c>
      <c r="C12" s="93" t="s">
        <v>31</v>
      </c>
      <c r="D12" s="94"/>
      <c r="E12" s="94">
        <v>39368.769999999997</v>
      </c>
      <c r="F12" s="88">
        <f t="shared" si="12"/>
        <v>39368.769999999997</v>
      </c>
      <c r="G12" s="94">
        <v>35250</v>
      </c>
      <c r="H12" s="88">
        <f t="shared" si="3"/>
        <v>74618.76999999999</v>
      </c>
      <c r="I12" s="89">
        <f>SUM(H12/'B - Operating Budget'!$D$40)</f>
        <v>8.0049277585612453E-3</v>
      </c>
      <c r="J12" s="95">
        <v>20</v>
      </c>
      <c r="K12" s="96" t="s">
        <v>30</v>
      </c>
      <c r="N12" s="90">
        <f t="shared" si="4"/>
        <v>0</v>
      </c>
      <c r="O12" s="91">
        <f t="shared" si="5"/>
        <v>0</v>
      </c>
      <c r="P12" s="91">
        <f t="shared" si="6"/>
        <v>19684.384999999998</v>
      </c>
      <c r="Q12" s="91">
        <f t="shared" si="6"/>
        <v>19684.384999999998</v>
      </c>
      <c r="R12" s="91">
        <f t="shared" si="7"/>
        <v>39368.769999999997</v>
      </c>
      <c r="T12" s="91">
        <f t="shared" si="8"/>
        <v>0</v>
      </c>
      <c r="U12" s="91">
        <f t="shared" si="9"/>
        <v>0</v>
      </c>
      <c r="V12" s="91">
        <f t="shared" si="10"/>
        <v>17625</v>
      </c>
      <c r="W12" s="91">
        <f t="shared" si="10"/>
        <v>17625</v>
      </c>
      <c r="X12" s="92">
        <f t="shared" si="11"/>
        <v>35250</v>
      </c>
    </row>
    <row r="13" spans="1:24" ht="27.6" x14ac:dyDescent="0.25">
      <c r="A13" s="97" t="s">
        <v>38</v>
      </c>
      <c r="B13" s="93" t="s">
        <v>30</v>
      </c>
      <c r="C13" s="93" t="s">
        <v>31</v>
      </c>
      <c r="D13" s="94"/>
      <c r="E13" s="94">
        <v>81956.600000000006</v>
      </c>
      <c r="F13" s="88">
        <f t="shared" si="12"/>
        <v>81956.600000000006</v>
      </c>
      <c r="G13" s="94">
        <v>47604</v>
      </c>
      <c r="H13" s="88">
        <f t="shared" si="3"/>
        <v>129560.6</v>
      </c>
      <c r="I13" s="89">
        <f>SUM(H13/'B - Operating Budget'!$D$40)</f>
        <v>1.3898959247865522E-2</v>
      </c>
      <c r="J13" s="95">
        <v>30</v>
      </c>
      <c r="K13" s="96" t="s">
        <v>30</v>
      </c>
      <c r="N13" s="90">
        <f t="shared" si="4"/>
        <v>0</v>
      </c>
      <c r="O13" s="91">
        <f t="shared" si="5"/>
        <v>0</v>
      </c>
      <c r="P13" s="91">
        <f t="shared" si="6"/>
        <v>40978.300000000003</v>
      </c>
      <c r="Q13" s="91">
        <f t="shared" si="6"/>
        <v>40978.300000000003</v>
      </c>
      <c r="R13" s="91">
        <f t="shared" si="7"/>
        <v>81956.600000000006</v>
      </c>
      <c r="T13" s="91">
        <f t="shared" si="8"/>
        <v>0</v>
      </c>
      <c r="U13" s="91">
        <f t="shared" si="9"/>
        <v>0</v>
      </c>
      <c r="V13" s="91">
        <f t="shared" si="10"/>
        <v>23802</v>
      </c>
      <c r="W13" s="91">
        <f t="shared" si="10"/>
        <v>23802</v>
      </c>
      <c r="X13" s="92">
        <f t="shared" si="11"/>
        <v>47604</v>
      </c>
    </row>
    <row r="14" spans="1:24" x14ac:dyDescent="0.25">
      <c r="A14" s="97" t="s">
        <v>39</v>
      </c>
      <c r="B14" s="93" t="s">
        <v>30</v>
      </c>
      <c r="C14" s="93" t="s">
        <v>31</v>
      </c>
      <c r="D14" s="94"/>
      <c r="E14" s="94">
        <v>266665</v>
      </c>
      <c r="F14" s="88">
        <f t="shared" si="12"/>
        <v>266665</v>
      </c>
      <c r="G14" s="94">
        <v>22700</v>
      </c>
      <c r="H14" s="88">
        <f t="shared" si="3"/>
        <v>289365</v>
      </c>
      <c r="I14" s="89">
        <f>SUM(H14/'B - Operating Budget'!$D$40)</f>
        <v>3.1042402881420791E-2</v>
      </c>
      <c r="J14" s="95">
        <v>50</v>
      </c>
      <c r="K14" s="96" t="s">
        <v>30</v>
      </c>
      <c r="N14" s="90">
        <f t="shared" si="4"/>
        <v>0</v>
      </c>
      <c r="O14" s="91">
        <f t="shared" si="5"/>
        <v>0</v>
      </c>
      <c r="P14" s="91">
        <f t="shared" si="6"/>
        <v>133332.5</v>
      </c>
      <c r="Q14" s="91">
        <f t="shared" si="6"/>
        <v>133332.5</v>
      </c>
      <c r="R14" s="91">
        <f t="shared" si="7"/>
        <v>266665</v>
      </c>
      <c r="T14" s="91">
        <f t="shared" si="8"/>
        <v>0</v>
      </c>
      <c r="U14" s="91">
        <f t="shared" si="9"/>
        <v>0</v>
      </c>
      <c r="V14" s="91">
        <f t="shared" si="10"/>
        <v>11350</v>
      </c>
      <c r="W14" s="91">
        <f t="shared" si="10"/>
        <v>11350</v>
      </c>
      <c r="X14" s="92">
        <f t="shared" si="11"/>
        <v>22700</v>
      </c>
    </row>
    <row r="15" spans="1:24" x14ac:dyDescent="0.25">
      <c r="A15" s="97" t="s">
        <v>40</v>
      </c>
      <c r="B15" s="93" t="s">
        <v>30</v>
      </c>
      <c r="C15" s="93" t="s">
        <v>31</v>
      </c>
      <c r="D15" s="94"/>
      <c r="E15" s="94">
        <v>546078</v>
      </c>
      <c r="F15" s="88">
        <f t="shared" si="12"/>
        <v>546078</v>
      </c>
      <c r="G15" s="94">
        <v>67000</v>
      </c>
      <c r="H15" s="88">
        <f t="shared" si="3"/>
        <v>613078</v>
      </c>
      <c r="I15" s="89">
        <f>SUM(H15/'B - Operating Budget'!$D$40)</f>
        <v>6.5769579160353517E-2</v>
      </c>
      <c r="J15" s="95">
        <v>100</v>
      </c>
      <c r="K15" s="96" t="s">
        <v>30</v>
      </c>
      <c r="N15" s="90">
        <f t="shared" si="4"/>
        <v>0</v>
      </c>
      <c r="O15" s="91">
        <f t="shared" si="5"/>
        <v>0</v>
      </c>
      <c r="P15" s="91">
        <f t="shared" si="6"/>
        <v>273039</v>
      </c>
      <c r="Q15" s="91">
        <f t="shared" si="6"/>
        <v>273039</v>
      </c>
      <c r="R15" s="91">
        <f t="shared" si="7"/>
        <v>546078</v>
      </c>
      <c r="T15" s="91">
        <f t="shared" si="8"/>
        <v>0</v>
      </c>
      <c r="U15" s="91">
        <f t="shared" si="9"/>
        <v>0</v>
      </c>
      <c r="V15" s="91">
        <f t="shared" si="10"/>
        <v>33500</v>
      </c>
      <c r="W15" s="91">
        <f t="shared" si="10"/>
        <v>33500</v>
      </c>
      <c r="X15" s="92">
        <f t="shared" si="11"/>
        <v>67000</v>
      </c>
    </row>
    <row r="16" spans="1:24" x14ac:dyDescent="0.25">
      <c r="A16" s="98" t="s">
        <v>41</v>
      </c>
      <c r="B16" s="99" t="s">
        <v>30</v>
      </c>
      <c r="C16" s="99" t="s">
        <v>31</v>
      </c>
      <c r="D16" s="100"/>
      <c r="E16" s="100">
        <v>176217</v>
      </c>
      <c r="F16" s="88">
        <f t="shared" si="12"/>
        <v>176217</v>
      </c>
      <c r="G16" s="94">
        <v>5575</v>
      </c>
      <c r="H16" s="88">
        <f t="shared" si="3"/>
        <v>181792</v>
      </c>
      <c r="I16" s="89">
        <f>SUM(H16/'B - Operating Budget'!$D$40)</f>
        <v>1.9502222122990853E-2</v>
      </c>
      <c r="J16" s="95">
        <v>25</v>
      </c>
      <c r="K16" s="96" t="s">
        <v>30</v>
      </c>
      <c r="N16" s="90">
        <f t="shared" si="4"/>
        <v>0</v>
      </c>
      <c r="O16" s="91">
        <f t="shared" si="5"/>
        <v>0</v>
      </c>
      <c r="P16" s="91">
        <f t="shared" si="6"/>
        <v>88108.5</v>
      </c>
      <c r="Q16" s="91">
        <f t="shared" si="6"/>
        <v>88108.5</v>
      </c>
      <c r="R16" s="91">
        <f t="shared" si="7"/>
        <v>176217</v>
      </c>
      <c r="T16" s="91">
        <f t="shared" si="8"/>
        <v>0</v>
      </c>
      <c r="U16" s="91">
        <f t="shared" si="9"/>
        <v>0</v>
      </c>
      <c r="V16" s="91">
        <f t="shared" si="10"/>
        <v>2787.5</v>
      </c>
      <c r="W16" s="91">
        <f t="shared" si="10"/>
        <v>2787.5</v>
      </c>
      <c r="X16" s="92">
        <f t="shared" si="11"/>
        <v>5575</v>
      </c>
    </row>
    <row r="17" spans="1:24" ht="27.6" x14ac:dyDescent="0.25">
      <c r="A17" s="97" t="s">
        <v>42</v>
      </c>
      <c r="B17" s="93" t="s">
        <v>30</v>
      </c>
      <c r="C17" s="93" t="s">
        <v>31</v>
      </c>
      <c r="D17" s="94"/>
      <c r="E17" s="94">
        <v>116734</v>
      </c>
      <c r="F17" s="88">
        <f t="shared" si="12"/>
        <v>116734</v>
      </c>
      <c r="G17" s="94">
        <v>11250</v>
      </c>
      <c r="H17" s="88">
        <f t="shared" si="3"/>
        <v>127984</v>
      </c>
      <c r="I17" s="89">
        <f>SUM(H17/'B - Operating Budget'!$D$40)</f>
        <v>1.3729825273878176E-2</v>
      </c>
      <c r="J17" s="95">
        <v>34</v>
      </c>
      <c r="K17" s="96" t="s">
        <v>30</v>
      </c>
      <c r="N17" s="90">
        <f t="shared" si="4"/>
        <v>0</v>
      </c>
      <c r="O17" s="91">
        <f t="shared" si="5"/>
        <v>0</v>
      </c>
      <c r="P17" s="91">
        <f t="shared" si="6"/>
        <v>58367</v>
      </c>
      <c r="Q17" s="91">
        <f t="shared" si="6"/>
        <v>58367</v>
      </c>
      <c r="R17" s="91">
        <f t="shared" si="7"/>
        <v>116734</v>
      </c>
      <c r="T17" s="91">
        <f t="shared" si="8"/>
        <v>0</v>
      </c>
      <c r="U17" s="91">
        <f t="shared" si="9"/>
        <v>0</v>
      </c>
      <c r="V17" s="91">
        <f t="shared" si="10"/>
        <v>5625</v>
      </c>
      <c r="W17" s="91">
        <f t="shared" si="10"/>
        <v>5625</v>
      </c>
      <c r="X17" s="92">
        <f t="shared" si="11"/>
        <v>11250</v>
      </c>
    </row>
    <row r="18" spans="1:24" x14ac:dyDescent="0.25">
      <c r="A18" s="97" t="s">
        <v>43</v>
      </c>
      <c r="B18" s="93" t="s">
        <v>30</v>
      </c>
      <c r="C18" s="93" t="s">
        <v>31</v>
      </c>
      <c r="D18" s="94"/>
      <c r="E18" s="94">
        <v>55783</v>
      </c>
      <c r="F18" s="88">
        <f t="shared" si="12"/>
        <v>55783</v>
      </c>
      <c r="G18" s="94">
        <v>8725</v>
      </c>
      <c r="H18" s="88">
        <f t="shared" si="3"/>
        <v>64508</v>
      </c>
      <c r="I18" s="89">
        <f>SUM(H18/'B - Operating Budget'!$D$40)</f>
        <v>6.9202679144841029E-3</v>
      </c>
      <c r="J18" s="95">
        <v>15</v>
      </c>
      <c r="K18" s="96" t="s">
        <v>30</v>
      </c>
      <c r="N18" s="90">
        <f t="shared" si="4"/>
        <v>0</v>
      </c>
      <c r="O18" s="91">
        <f t="shared" si="5"/>
        <v>0</v>
      </c>
      <c r="P18" s="91">
        <f t="shared" si="6"/>
        <v>27891.5</v>
      </c>
      <c r="Q18" s="91">
        <f t="shared" si="6"/>
        <v>27891.5</v>
      </c>
      <c r="R18" s="91">
        <f t="shared" si="7"/>
        <v>55783</v>
      </c>
      <c r="T18" s="91">
        <f t="shared" si="8"/>
        <v>0</v>
      </c>
      <c r="U18" s="91">
        <f t="shared" si="9"/>
        <v>0</v>
      </c>
      <c r="V18" s="91">
        <f t="shared" si="10"/>
        <v>4362.5</v>
      </c>
      <c r="W18" s="91">
        <f t="shared" si="10"/>
        <v>4362.5</v>
      </c>
      <c r="X18" s="92">
        <f t="shared" si="11"/>
        <v>8725</v>
      </c>
    </row>
    <row r="19" spans="1:24" x14ac:dyDescent="0.25">
      <c r="A19" s="97" t="s">
        <v>44</v>
      </c>
      <c r="B19" s="93" t="s">
        <v>30</v>
      </c>
      <c r="C19" s="93" t="s">
        <v>31</v>
      </c>
      <c r="D19" s="94"/>
      <c r="E19" s="94">
        <v>401520.6</v>
      </c>
      <c r="F19" s="88">
        <f t="shared" si="12"/>
        <v>401520.6</v>
      </c>
      <c r="G19" s="94">
        <v>41280</v>
      </c>
      <c r="H19" s="88">
        <f t="shared" si="3"/>
        <v>442800.6</v>
      </c>
      <c r="I19" s="89">
        <f>SUM(H19/'B - Operating Budget'!$D$40)</f>
        <v>4.7502616492439836E-2</v>
      </c>
      <c r="J19" s="95">
        <v>90</v>
      </c>
      <c r="K19" s="96" t="s">
        <v>30</v>
      </c>
      <c r="N19" s="90">
        <f t="shared" si="4"/>
        <v>0</v>
      </c>
      <c r="O19" s="91">
        <f t="shared" si="5"/>
        <v>0</v>
      </c>
      <c r="P19" s="91">
        <f t="shared" si="6"/>
        <v>200760.3</v>
      </c>
      <c r="Q19" s="91">
        <f t="shared" si="6"/>
        <v>200760.3</v>
      </c>
      <c r="R19" s="91">
        <f t="shared" si="7"/>
        <v>401520.6</v>
      </c>
      <c r="T19" s="91">
        <f t="shared" si="8"/>
        <v>0</v>
      </c>
      <c r="U19" s="91">
        <f t="shared" si="9"/>
        <v>0</v>
      </c>
      <c r="V19" s="91">
        <f t="shared" si="10"/>
        <v>20640</v>
      </c>
      <c r="W19" s="91">
        <f t="shared" si="10"/>
        <v>20640</v>
      </c>
      <c r="X19" s="92">
        <f t="shared" si="11"/>
        <v>41280</v>
      </c>
    </row>
    <row r="20" spans="1:24" x14ac:dyDescent="0.25">
      <c r="A20" s="97" t="s">
        <v>45</v>
      </c>
      <c r="B20" s="93" t="s">
        <v>30</v>
      </c>
      <c r="C20" s="93" t="s">
        <v>31</v>
      </c>
      <c r="D20" s="94"/>
      <c r="E20" s="94">
        <v>42620</v>
      </c>
      <c r="F20" s="88">
        <f t="shared" si="12"/>
        <v>42620</v>
      </c>
      <c r="G20" s="94">
        <v>54775</v>
      </c>
      <c r="H20" s="88">
        <f t="shared" si="3"/>
        <v>97395</v>
      </c>
      <c r="I20" s="89">
        <f>SUM(H20/'B - Operating Budget'!$D$40)</f>
        <v>1.0448308636621492E-2</v>
      </c>
      <c r="J20" s="95">
        <v>20</v>
      </c>
      <c r="K20" s="96" t="s">
        <v>30</v>
      </c>
      <c r="N20" s="90">
        <f t="shared" si="4"/>
        <v>0</v>
      </c>
      <c r="O20" s="91">
        <f t="shared" si="5"/>
        <v>0</v>
      </c>
      <c r="P20" s="91">
        <f t="shared" si="6"/>
        <v>21310</v>
      </c>
      <c r="Q20" s="91">
        <f t="shared" si="6"/>
        <v>21310</v>
      </c>
      <c r="R20" s="91">
        <f t="shared" ref="R20:R103" si="13">SUM(N20:Q20)</f>
        <v>42620</v>
      </c>
      <c r="T20" s="91">
        <f t="shared" si="8"/>
        <v>0</v>
      </c>
      <c r="U20" s="91">
        <f t="shared" si="9"/>
        <v>0</v>
      </c>
      <c r="V20" s="91">
        <f t="shared" si="10"/>
        <v>27387.5</v>
      </c>
      <c r="W20" s="91">
        <f t="shared" si="10"/>
        <v>27387.5</v>
      </c>
      <c r="X20" s="92">
        <f t="shared" si="11"/>
        <v>54775</v>
      </c>
    </row>
    <row r="21" spans="1:24" x14ac:dyDescent="0.25">
      <c r="A21" s="97" t="s">
        <v>46</v>
      </c>
      <c r="B21" s="93" t="s">
        <v>30</v>
      </c>
      <c r="C21" s="93" t="s">
        <v>31</v>
      </c>
      <c r="D21" s="94"/>
      <c r="E21" s="94">
        <v>317576</v>
      </c>
      <c r="F21" s="88">
        <f t="shared" si="12"/>
        <v>317576</v>
      </c>
      <c r="G21" s="94">
        <v>11000</v>
      </c>
      <c r="H21" s="88">
        <f t="shared" si="3"/>
        <v>328576</v>
      </c>
      <c r="I21" s="89">
        <f>SUM(H21/'B - Operating Budget'!$D$40)</f>
        <v>3.5248867586493593E-2</v>
      </c>
      <c r="J21" s="95">
        <v>55</v>
      </c>
      <c r="K21" s="96" t="s">
        <v>30</v>
      </c>
      <c r="N21" s="90">
        <f t="shared" si="4"/>
        <v>0</v>
      </c>
      <c r="O21" s="91">
        <f t="shared" si="5"/>
        <v>0</v>
      </c>
      <c r="P21" s="91">
        <f t="shared" si="6"/>
        <v>158788</v>
      </c>
      <c r="Q21" s="91">
        <f t="shared" si="6"/>
        <v>158788</v>
      </c>
      <c r="R21" s="91">
        <f t="shared" si="13"/>
        <v>317576</v>
      </c>
      <c r="T21" s="91">
        <f t="shared" si="8"/>
        <v>0</v>
      </c>
      <c r="U21" s="91">
        <f t="shared" si="9"/>
        <v>0</v>
      </c>
      <c r="V21" s="91">
        <f t="shared" si="10"/>
        <v>5500</v>
      </c>
      <c r="W21" s="91">
        <f t="shared" si="10"/>
        <v>5500</v>
      </c>
      <c r="X21" s="92">
        <f t="shared" si="11"/>
        <v>11000</v>
      </c>
    </row>
    <row r="22" spans="1:24" x14ac:dyDescent="0.25">
      <c r="A22" s="97" t="s">
        <v>47</v>
      </c>
      <c r="B22" s="93" t="s">
        <v>30</v>
      </c>
      <c r="C22" s="93" t="s">
        <v>31</v>
      </c>
      <c r="D22" s="94"/>
      <c r="E22" s="94">
        <v>262048</v>
      </c>
      <c r="F22" s="88">
        <f t="shared" si="12"/>
        <v>262048</v>
      </c>
      <c r="G22" s="94">
        <v>2000</v>
      </c>
      <c r="H22" s="88">
        <f t="shared" si="3"/>
        <v>264048</v>
      </c>
      <c r="I22" s="89">
        <f>SUM(H22/'B - Operating Budget'!$D$40)</f>
        <v>2.832645411861627E-2</v>
      </c>
      <c r="J22" s="95">
        <v>47</v>
      </c>
      <c r="K22" s="96" t="s">
        <v>30</v>
      </c>
      <c r="N22" s="90">
        <f t="shared" si="4"/>
        <v>0</v>
      </c>
      <c r="O22" s="91">
        <f t="shared" si="5"/>
        <v>0</v>
      </c>
      <c r="P22" s="91">
        <f t="shared" si="6"/>
        <v>131024</v>
      </c>
      <c r="Q22" s="91">
        <f t="shared" si="6"/>
        <v>131024</v>
      </c>
      <c r="R22" s="91">
        <f t="shared" si="13"/>
        <v>262048</v>
      </c>
      <c r="T22" s="91">
        <f t="shared" si="8"/>
        <v>0</v>
      </c>
      <c r="U22" s="91">
        <f t="shared" si="9"/>
        <v>0</v>
      </c>
      <c r="V22" s="91">
        <f t="shared" si="10"/>
        <v>1000</v>
      </c>
      <c r="W22" s="91">
        <f t="shared" si="10"/>
        <v>1000</v>
      </c>
      <c r="X22" s="92">
        <f t="shared" si="11"/>
        <v>2000</v>
      </c>
    </row>
    <row r="23" spans="1:24" x14ac:dyDescent="0.25">
      <c r="A23" s="97" t="s">
        <v>48</v>
      </c>
      <c r="B23" s="93" t="s">
        <v>30</v>
      </c>
      <c r="C23" s="93" t="s">
        <v>31</v>
      </c>
      <c r="D23" s="94"/>
      <c r="E23" s="94">
        <v>366452</v>
      </c>
      <c r="F23" s="88">
        <f t="shared" si="12"/>
        <v>366452</v>
      </c>
      <c r="G23" s="94">
        <v>115020</v>
      </c>
      <c r="H23" s="88">
        <f t="shared" si="3"/>
        <v>481472</v>
      </c>
      <c r="I23" s="89">
        <f>SUM(H23/'B - Operating Budget'!$D$40)</f>
        <v>5.1651194166963628E-2</v>
      </c>
      <c r="J23" s="95">
        <v>25</v>
      </c>
      <c r="K23" s="96" t="s">
        <v>30</v>
      </c>
      <c r="N23" s="90">
        <f t="shared" si="4"/>
        <v>0</v>
      </c>
      <c r="O23" s="91">
        <f t="shared" si="5"/>
        <v>0</v>
      </c>
      <c r="P23" s="91">
        <f t="shared" si="6"/>
        <v>183226</v>
      </c>
      <c r="Q23" s="91">
        <f t="shared" si="6"/>
        <v>183226</v>
      </c>
      <c r="R23" s="91">
        <f t="shared" si="13"/>
        <v>366452</v>
      </c>
      <c r="T23" s="91">
        <f t="shared" si="8"/>
        <v>0</v>
      </c>
      <c r="U23" s="91">
        <f t="shared" si="9"/>
        <v>0</v>
      </c>
      <c r="V23" s="91">
        <f t="shared" si="10"/>
        <v>57510</v>
      </c>
      <c r="W23" s="91">
        <f t="shared" si="10"/>
        <v>57510</v>
      </c>
      <c r="X23" s="92">
        <f t="shared" si="11"/>
        <v>115020</v>
      </c>
    </row>
    <row r="24" spans="1:24" ht="27.6" x14ac:dyDescent="0.25">
      <c r="A24" s="97" t="s">
        <v>49</v>
      </c>
      <c r="B24" s="93" t="s">
        <v>30</v>
      </c>
      <c r="C24" s="93" t="s">
        <v>31</v>
      </c>
      <c r="D24" s="94"/>
      <c r="E24" s="94">
        <v>91717.81</v>
      </c>
      <c r="F24" s="88">
        <f t="shared" si="12"/>
        <v>91717.81</v>
      </c>
      <c r="G24" s="94">
        <v>73000</v>
      </c>
      <c r="H24" s="88">
        <f t="shared" si="3"/>
        <v>164717.81</v>
      </c>
      <c r="I24" s="89">
        <f>SUM(H24/'B - Operating Budget'!$D$40)</f>
        <v>1.7670542808443736E-2</v>
      </c>
      <c r="J24" s="95">
        <v>25</v>
      </c>
      <c r="K24" s="96" t="s">
        <v>30</v>
      </c>
      <c r="N24" s="90">
        <f t="shared" si="4"/>
        <v>0</v>
      </c>
      <c r="O24" s="91">
        <f t="shared" si="5"/>
        <v>0</v>
      </c>
      <c r="P24" s="91">
        <f t="shared" ref="P24:Q103" si="14">IF($K24="no",SUM($E24*0.5),0)</f>
        <v>45858.904999999999</v>
      </c>
      <c r="Q24" s="91">
        <f t="shared" si="14"/>
        <v>45858.904999999999</v>
      </c>
      <c r="R24" s="91">
        <f t="shared" si="13"/>
        <v>91717.81</v>
      </c>
      <c r="T24" s="91">
        <f t="shared" si="8"/>
        <v>0</v>
      </c>
      <c r="U24" s="91">
        <f t="shared" si="9"/>
        <v>0</v>
      </c>
      <c r="V24" s="91">
        <f t="shared" si="10"/>
        <v>36500</v>
      </c>
      <c r="W24" s="91">
        <f t="shared" si="10"/>
        <v>36500</v>
      </c>
      <c r="X24" s="92">
        <f t="shared" si="11"/>
        <v>73000</v>
      </c>
    </row>
    <row r="25" spans="1:24" x14ac:dyDescent="0.25">
      <c r="A25" s="97" t="s">
        <v>50</v>
      </c>
      <c r="B25" s="93" t="s">
        <v>30</v>
      </c>
      <c r="C25" s="93" t="s">
        <v>31</v>
      </c>
      <c r="D25" s="94"/>
      <c r="E25" s="94">
        <v>145.00299999999999</v>
      </c>
      <c r="F25" s="88">
        <f t="shared" si="12"/>
        <v>145.00299999999999</v>
      </c>
      <c r="G25" s="94">
        <v>34000</v>
      </c>
      <c r="H25" s="88">
        <f t="shared" si="3"/>
        <v>34145.002999999997</v>
      </c>
      <c r="I25" s="89">
        <f>SUM(H25/'B - Operating Budget'!$D$40)</f>
        <v>3.6629963524037858E-3</v>
      </c>
      <c r="J25" s="95">
        <v>20</v>
      </c>
      <c r="K25" s="96" t="s">
        <v>30</v>
      </c>
      <c r="N25" s="90">
        <f t="shared" si="4"/>
        <v>0</v>
      </c>
      <c r="O25" s="91">
        <f t="shared" si="5"/>
        <v>0</v>
      </c>
      <c r="P25" s="91">
        <f t="shared" si="14"/>
        <v>72.501499999999993</v>
      </c>
      <c r="Q25" s="91">
        <f t="shared" si="14"/>
        <v>72.501499999999993</v>
      </c>
      <c r="R25" s="91">
        <f t="shared" si="13"/>
        <v>145.00299999999999</v>
      </c>
      <c r="T25" s="91">
        <f t="shared" si="8"/>
        <v>0</v>
      </c>
      <c r="U25" s="91">
        <f t="shared" si="9"/>
        <v>0</v>
      </c>
      <c r="V25" s="91">
        <f t="shared" si="10"/>
        <v>17000</v>
      </c>
      <c r="W25" s="91">
        <f t="shared" si="10"/>
        <v>17000</v>
      </c>
      <c r="X25" s="92">
        <f t="shared" si="11"/>
        <v>34000</v>
      </c>
    </row>
    <row r="26" spans="1:24" x14ac:dyDescent="0.25">
      <c r="A26" s="97" t="s">
        <v>51</v>
      </c>
      <c r="B26" s="93" t="s">
        <v>30</v>
      </c>
      <c r="C26" s="93" t="s">
        <v>31</v>
      </c>
      <c r="D26" s="94"/>
      <c r="E26" s="94">
        <v>92470.14</v>
      </c>
      <c r="F26" s="88">
        <f t="shared" si="12"/>
        <v>92470.14</v>
      </c>
      <c r="G26" s="94">
        <v>245000</v>
      </c>
      <c r="H26" s="88">
        <f t="shared" si="3"/>
        <v>337470.14</v>
      </c>
      <c r="I26" s="89">
        <f>SUM(H26/'B - Operating Budget'!$D$40)</f>
        <v>3.6203010199331219E-2</v>
      </c>
      <c r="J26" s="95">
        <v>20</v>
      </c>
      <c r="K26" s="96" t="s">
        <v>30</v>
      </c>
      <c r="N26" s="90">
        <f t="shared" si="4"/>
        <v>0</v>
      </c>
      <c r="O26" s="91">
        <f t="shared" si="5"/>
        <v>0</v>
      </c>
      <c r="P26" s="91">
        <f t="shared" si="14"/>
        <v>46235.07</v>
      </c>
      <c r="Q26" s="91">
        <f t="shared" si="14"/>
        <v>46235.07</v>
      </c>
      <c r="R26" s="91">
        <f t="shared" si="13"/>
        <v>92470.14</v>
      </c>
      <c r="T26" s="91">
        <f t="shared" si="8"/>
        <v>0</v>
      </c>
      <c r="U26" s="91">
        <f t="shared" si="9"/>
        <v>0</v>
      </c>
      <c r="V26" s="91">
        <f t="shared" si="10"/>
        <v>122500</v>
      </c>
      <c r="W26" s="91">
        <f t="shared" si="10"/>
        <v>122500</v>
      </c>
      <c r="X26" s="92">
        <f t="shared" si="11"/>
        <v>245000</v>
      </c>
    </row>
    <row r="27" spans="1:24" ht="27.6" x14ac:dyDescent="0.25">
      <c r="A27" s="97" t="s">
        <v>52</v>
      </c>
      <c r="B27" s="93" t="s">
        <v>30</v>
      </c>
      <c r="C27" s="93" t="s">
        <v>31</v>
      </c>
      <c r="D27" s="94"/>
      <c r="E27" s="94">
        <v>240000</v>
      </c>
      <c r="F27" s="88">
        <f t="shared" ref="F27:F28" si="15">SUM(D27:E27)</f>
        <v>240000</v>
      </c>
      <c r="G27" s="94">
        <v>90000</v>
      </c>
      <c r="H27" s="88">
        <f t="shared" ref="H27:H28" si="16">SUM(F27:G27)</f>
        <v>330000</v>
      </c>
      <c r="I27" s="89">
        <f>SUM(H27/'B - Operating Budget'!$D$40)</f>
        <v>3.5401630988090682E-2</v>
      </c>
      <c r="J27" s="95">
        <v>235</v>
      </c>
      <c r="K27" s="96" t="s">
        <v>30</v>
      </c>
      <c r="N27" s="90">
        <f t="shared" si="4"/>
        <v>0</v>
      </c>
      <c r="O27" s="91">
        <f t="shared" si="5"/>
        <v>0</v>
      </c>
      <c r="P27" s="91">
        <f t="shared" si="14"/>
        <v>120000</v>
      </c>
      <c r="Q27" s="91">
        <f t="shared" si="14"/>
        <v>120000</v>
      </c>
      <c r="R27" s="91">
        <f t="shared" ref="R27:R57" si="17">SUM(N27:Q27)</f>
        <v>240000</v>
      </c>
      <c r="T27" s="91">
        <f t="shared" si="8"/>
        <v>0</v>
      </c>
      <c r="U27" s="91">
        <f t="shared" si="9"/>
        <v>0</v>
      </c>
      <c r="V27" s="91">
        <f t="shared" si="10"/>
        <v>45000</v>
      </c>
      <c r="W27" s="91">
        <f t="shared" si="10"/>
        <v>45000</v>
      </c>
      <c r="X27" s="92">
        <f t="shared" ref="X27:X57" si="18">SUM(T27:W27)</f>
        <v>90000</v>
      </c>
    </row>
    <row r="28" spans="1:24" ht="27.6" x14ac:dyDescent="0.25">
      <c r="A28" s="97" t="s">
        <v>53</v>
      </c>
      <c r="B28" s="93" t="s">
        <v>30</v>
      </c>
      <c r="C28" s="93" t="s">
        <v>31</v>
      </c>
      <c r="D28" s="94"/>
      <c r="E28" s="94">
        <v>113000</v>
      </c>
      <c r="F28" s="88">
        <f t="shared" si="15"/>
        <v>113000</v>
      </c>
      <c r="G28" s="94">
        <v>12000</v>
      </c>
      <c r="H28" s="88">
        <f t="shared" si="16"/>
        <v>125000</v>
      </c>
      <c r="I28" s="89">
        <f>SUM(H28/'B - Operating Budget'!$D$40)</f>
        <v>1.3409708707610107E-2</v>
      </c>
      <c r="J28" s="95">
        <v>60</v>
      </c>
      <c r="K28" s="96" t="s">
        <v>30</v>
      </c>
      <c r="N28" s="90">
        <f t="shared" si="4"/>
        <v>0</v>
      </c>
      <c r="O28" s="91">
        <f t="shared" si="5"/>
        <v>0</v>
      </c>
      <c r="P28" s="91">
        <f t="shared" si="14"/>
        <v>56500</v>
      </c>
      <c r="Q28" s="91">
        <f t="shared" si="14"/>
        <v>56500</v>
      </c>
      <c r="R28" s="91">
        <f t="shared" si="17"/>
        <v>113000</v>
      </c>
      <c r="T28" s="91">
        <f t="shared" si="8"/>
        <v>0</v>
      </c>
      <c r="U28" s="91">
        <f t="shared" si="9"/>
        <v>0</v>
      </c>
      <c r="V28" s="91">
        <f t="shared" si="10"/>
        <v>6000</v>
      </c>
      <c r="W28" s="91">
        <f t="shared" si="10"/>
        <v>6000</v>
      </c>
      <c r="X28" s="92">
        <f t="shared" si="18"/>
        <v>12000</v>
      </c>
    </row>
    <row r="29" spans="1:24" ht="27.6" x14ac:dyDescent="0.25">
      <c r="A29" s="97" t="s">
        <v>54</v>
      </c>
      <c r="B29" s="93" t="s">
        <v>30</v>
      </c>
      <c r="C29" s="93" t="s">
        <v>31</v>
      </c>
      <c r="D29" s="94"/>
      <c r="E29" s="94">
        <v>89086</v>
      </c>
      <c r="F29" s="88">
        <f>SUM(D29:E29)</f>
        <v>89086</v>
      </c>
      <c r="G29" s="94">
        <v>49600</v>
      </c>
      <c r="H29" s="88">
        <f>SUM(F29:G29)</f>
        <v>138686</v>
      </c>
      <c r="I29" s="89">
        <f>SUM(H29/'B - Operating Budget'!$D$40)</f>
        <v>1.4877910894588923E-2</v>
      </c>
      <c r="J29" s="95">
        <v>40</v>
      </c>
      <c r="K29" s="96" t="s">
        <v>30</v>
      </c>
      <c r="N29" s="90">
        <f>IF($K29="yes",SUM($E29*0.75),0)</f>
        <v>0</v>
      </c>
      <c r="O29" s="91">
        <f>IF($K29="yes",SUM($E29*0.25),0)</f>
        <v>0</v>
      </c>
      <c r="P29" s="91">
        <f t="shared" ref="P29:Q33" si="19">IF($K29="no",SUM($E29*0.5),0)</f>
        <v>44543</v>
      </c>
      <c r="Q29" s="91">
        <f t="shared" si="19"/>
        <v>44543</v>
      </c>
      <c r="R29" s="91">
        <f t="shared" si="17"/>
        <v>89086</v>
      </c>
      <c r="T29" s="91">
        <f>IF($K29="yes",SUM($G29*0.75),0)</f>
        <v>0</v>
      </c>
      <c r="U29" s="91">
        <f>IF($K29="yes",SUM($G29*0.25),0)</f>
        <v>0</v>
      </c>
      <c r="V29" s="91">
        <f t="shared" ref="V29:W33" si="20">IF($K29="no",SUM($G29*0.5),0)</f>
        <v>24800</v>
      </c>
      <c r="W29" s="91">
        <f t="shared" si="20"/>
        <v>24800</v>
      </c>
      <c r="X29" s="92">
        <f t="shared" si="18"/>
        <v>49600</v>
      </c>
    </row>
    <row r="30" spans="1:24" ht="27.6" x14ac:dyDescent="0.25">
      <c r="A30" s="97" t="s">
        <v>55</v>
      </c>
      <c r="B30" s="93" t="s">
        <v>30</v>
      </c>
      <c r="C30" s="93" t="s">
        <v>31</v>
      </c>
      <c r="D30" s="94"/>
      <c r="E30" s="94">
        <v>30115</v>
      </c>
      <c r="F30" s="88">
        <f>SUM(D30:E30)</f>
        <v>30115</v>
      </c>
      <c r="G30" s="94">
        <v>22100</v>
      </c>
      <c r="H30" s="88">
        <f t="shared" ref="H30:H57" si="21">SUM(F30:G30)</f>
        <v>52215</v>
      </c>
      <c r="I30" s="89">
        <f>SUM(H30/'B - Operating Budget'!$D$40)</f>
        <v>5.6015035213428941E-3</v>
      </c>
      <c r="J30" s="95">
        <v>10</v>
      </c>
      <c r="K30" s="96" t="s">
        <v>30</v>
      </c>
      <c r="N30" s="90">
        <f>IF($K30="yes",SUM($E30*0.75),0)</f>
        <v>0</v>
      </c>
      <c r="O30" s="91">
        <f>IF($K30="yes",SUM($E30*0.25),0)</f>
        <v>0</v>
      </c>
      <c r="P30" s="91">
        <f t="shared" si="19"/>
        <v>15057.5</v>
      </c>
      <c r="Q30" s="91">
        <f t="shared" si="19"/>
        <v>15057.5</v>
      </c>
      <c r="R30" s="91">
        <f t="shared" si="17"/>
        <v>30115</v>
      </c>
      <c r="T30" s="91">
        <f>IF($K30="yes",SUM($G30*0.75),0)</f>
        <v>0</v>
      </c>
      <c r="U30" s="91">
        <f>IF($K30="yes",SUM($G30*0.25),0)</f>
        <v>0</v>
      </c>
      <c r="V30" s="91">
        <f t="shared" si="20"/>
        <v>11050</v>
      </c>
      <c r="W30" s="91">
        <f t="shared" si="20"/>
        <v>11050</v>
      </c>
      <c r="X30" s="92">
        <f t="shared" si="18"/>
        <v>22100</v>
      </c>
    </row>
    <row r="31" spans="1:24" x14ac:dyDescent="0.25">
      <c r="A31" s="97" t="s">
        <v>56</v>
      </c>
      <c r="B31" s="93" t="s">
        <v>30</v>
      </c>
      <c r="C31" s="93" t="s">
        <v>31</v>
      </c>
      <c r="D31" s="94"/>
      <c r="E31" s="94">
        <v>162500</v>
      </c>
      <c r="F31" s="88">
        <f>SUM(D31:E31)</f>
        <v>162500</v>
      </c>
      <c r="G31" s="94">
        <v>30100</v>
      </c>
      <c r="H31" s="88">
        <f t="shared" si="21"/>
        <v>192600</v>
      </c>
      <c r="I31" s="89">
        <f>SUM(H31/'B - Operating Budget'!$D$40)</f>
        <v>2.0661679176685654E-2</v>
      </c>
      <c r="J31" s="95">
        <v>48</v>
      </c>
      <c r="K31" s="96" t="s">
        <v>30</v>
      </c>
      <c r="N31" s="90">
        <f>IF($K31="yes",SUM($E31*0.75),0)</f>
        <v>0</v>
      </c>
      <c r="O31" s="91">
        <f>IF($K31="yes",SUM($E31*0.25),0)</f>
        <v>0</v>
      </c>
      <c r="P31" s="91">
        <f t="shared" si="19"/>
        <v>81250</v>
      </c>
      <c r="Q31" s="91">
        <f t="shared" si="19"/>
        <v>81250</v>
      </c>
      <c r="R31" s="91">
        <f t="shared" si="17"/>
        <v>162500</v>
      </c>
      <c r="T31" s="91">
        <f>IF($K31="yes",SUM($G31*0.75),0)</f>
        <v>0</v>
      </c>
      <c r="U31" s="91">
        <f>IF($K31="yes",SUM($G31*0.25),0)</f>
        <v>0</v>
      </c>
      <c r="V31" s="91">
        <f t="shared" si="20"/>
        <v>15050</v>
      </c>
      <c r="W31" s="91">
        <f t="shared" si="20"/>
        <v>15050</v>
      </c>
      <c r="X31" s="92">
        <f t="shared" si="18"/>
        <v>30100</v>
      </c>
    </row>
    <row r="32" spans="1:24" x14ac:dyDescent="0.25">
      <c r="A32" s="97" t="s">
        <v>57</v>
      </c>
      <c r="B32" s="93" t="s">
        <v>30</v>
      </c>
      <c r="C32" s="93" t="s">
        <v>31</v>
      </c>
      <c r="D32" s="94"/>
      <c r="E32" s="94">
        <v>48093</v>
      </c>
      <c r="F32" s="88">
        <f>SUM(D32:E32)</f>
        <v>48093</v>
      </c>
      <c r="G32" s="94">
        <v>5940</v>
      </c>
      <c r="H32" s="88">
        <f t="shared" si="21"/>
        <v>54033</v>
      </c>
      <c r="I32" s="89">
        <f>SUM(H32/'B - Operating Budget'!$D$40)</f>
        <v>5.7965343247863756E-3</v>
      </c>
      <c r="J32" s="95">
        <v>50</v>
      </c>
      <c r="K32" s="96" t="s">
        <v>30</v>
      </c>
      <c r="N32" s="90">
        <f>IF($K32="yes",SUM($E32*0.75),0)</f>
        <v>0</v>
      </c>
      <c r="O32" s="91">
        <f>IF($K32="yes",SUM($E32*0.25),0)</f>
        <v>0</v>
      </c>
      <c r="P32" s="91">
        <f t="shared" si="19"/>
        <v>24046.5</v>
      </c>
      <c r="Q32" s="91">
        <f t="shared" si="19"/>
        <v>24046.5</v>
      </c>
      <c r="R32" s="91">
        <f t="shared" si="17"/>
        <v>48093</v>
      </c>
      <c r="T32" s="91">
        <f>IF($K32="yes",SUM($G32*0.75),0)</f>
        <v>0</v>
      </c>
      <c r="U32" s="91">
        <f>IF($K32="yes",SUM($G32*0.25),0)</f>
        <v>0</v>
      </c>
      <c r="V32" s="91">
        <f t="shared" si="20"/>
        <v>2970</v>
      </c>
      <c r="W32" s="91">
        <f t="shared" si="20"/>
        <v>2970</v>
      </c>
      <c r="X32" s="92">
        <f t="shared" si="18"/>
        <v>5940</v>
      </c>
    </row>
    <row r="33" spans="1:24" x14ac:dyDescent="0.25">
      <c r="A33" s="79"/>
      <c r="B33" s="93"/>
      <c r="C33" s="93"/>
      <c r="D33" s="94"/>
      <c r="E33" s="94"/>
      <c r="F33" s="88">
        <f>SUM(D33:E33)</f>
        <v>0</v>
      </c>
      <c r="G33" s="94"/>
      <c r="H33" s="88">
        <f t="shared" si="21"/>
        <v>0</v>
      </c>
      <c r="I33" s="89">
        <f>SUM(H33/'B - Operating Budget'!$D$40)</f>
        <v>0</v>
      </c>
      <c r="J33" s="95"/>
      <c r="K33" s="96"/>
      <c r="N33" s="90">
        <f>IF($K33="yes",SUM($E33*0.75),0)</f>
        <v>0</v>
      </c>
      <c r="O33" s="91">
        <f>IF($K33="yes",SUM($E33*0.25),0)</f>
        <v>0</v>
      </c>
      <c r="P33" s="91">
        <f t="shared" si="19"/>
        <v>0</v>
      </c>
      <c r="Q33" s="91">
        <f t="shared" si="19"/>
        <v>0</v>
      </c>
      <c r="R33" s="91">
        <f t="shared" si="17"/>
        <v>0</v>
      </c>
      <c r="T33" s="91">
        <f>IF($K33="yes",SUM($G33*0.75),0)</f>
        <v>0</v>
      </c>
      <c r="U33" s="91">
        <f>IF($K33="yes",SUM($G33*0.25),0)</f>
        <v>0</v>
      </c>
      <c r="V33" s="91">
        <f t="shared" si="20"/>
        <v>0</v>
      </c>
      <c r="W33" s="91">
        <f t="shared" si="20"/>
        <v>0</v>
      </c>
      <c r="X33" s="92">
        <f t="shared" si="18"/>
        <v>0</v>
      </c>
    </row>
    <row r="34" spans="1:24" x14ac:dyDescent="0.25">
      <c r="A34" s="97"/>
      <c r="B34" s="93"/>
      <c r="C34" s="93"/>
      <c r="D34" s="94"/>
      <c r="E34" s="94"/>
      <c r="F34" s="88">
        <f t="shared" ref="F34:F57" si="22">SUM(D34:E34)</f>
        <v>0</v>
      </c>
      <c r="G34" s="94"/>
      <c r="H34" s="88">
        <f t="shared" si="21"/>
        <v>0</v>
      </c>
      <c r="I34" s="89">
        <f>SUM(H34/'B - Operating Budget'!$D$40)</f>
        <v>0</v>
      </c>
      <c r="J34" s="95"/>
      <c r="K34" s="96"/>
      <c r="N34" s="90">
        <f t="shared" si="4"/>
        <v>0</v>
      </c>
      <c r="O34" s="91">
        <f t="shared" si="5"/>
        <v>0</v>
      </c>
      <c r="P34" s="91">
        <f t="shared" si="14"/>
        <v>0</v>
      </c>
      <c r="Q34" s="91">
        <f t="shared" si="14"/>
        <v>0</v>
      </c>
      <c r="R34" s="91">
        <f t="shared" si="17"/>
        <v>0</v>
      </c>
      <c r="T34" s="91">
        <f t="shared" si="8"/>
        <v>0</v>
      </c>
      <c r="U34" s="91">
        <f t="shared" si="9"/>
        <v>0</v>
      </c>
      <c r="V34" s="91">
        <f t="shared" si="10"/>
        <v>0</v>
      </c>
      <c r="W34" s="91">
        <f t="shared" si="10"/>
        <v>0</v>
      </c>
      <c r="X34" s="92">
        <f t="shared" si="18"/>
        <v>0</v>
      </c>
    </row>
    <row r="35" spans="1:24" x14ac:dyDescent="0.25">
      <c r="A35" s="97"/>
      <c r="B35" s="93"/>
      <c r="C35" s="93"/>
      <c r="D35" s="94"/>
      <c r="E35" s="94"/>
      <c r="F35" s="88">
        <f t="shared" si="22"/>
        <v>0</v>
      </c>
      <c r="G35" s="94"/>
      <c r="H35" s="88">
        <f t="shared" si="21"/>
        <v>0</v>
      </c>
      <c r="I35" s="89">
        <f>SUM(H35/'B - Operating Budget'!$D$40)</f>
        <v>0</v>
      </c>
      <c r="J35" s="95"/>
      <c r="K35" s="96"/>
      <c r="N35" s="90">
        <f t="shared" si="4"/>
        <v>0</v>
      </c>
      <c r="O35" s="91">
        <f t="shared" si="5"/>
        <v>0</v>
      </c>
      <c r="P35" s="91">
        <f t="shared" si="14"/>
        <v>0</v>
      </c>
      <c r="Q35" s="91">
        <f t="shared" si="14"/>
        <v>0</v>
      </c>
      <c r="R35" s="91">
        <f t="shared" si="17"/>
        <v>0</v>
      </c>
      <c r="T35" s="91">
        <f t="shared" si="8"/>
        <v>0</v>
      </c>
      <c r="U35" s="91">
        <f t="shared" si="9"/>
        <v>0</v>
      </c>
      <c r="V35" s="91">
        <f t="shared" si="10"/>
        <v>0</v>
      </c>
      <c r="W35" s="91">
        <f t="shared" si="10"/>
        <v>0</v>
      </c>
      <c r="X35" s="92">
        <f t="shared" si="18"/>
        <v>0</v>
      </c>
    </row>
    <row r="36" spans="1:24" x14ac:dyDescent="0.25">
      <c r="A36" s="97"/>
      <c r="B36" s="93"/>
      <c r="C36" s="93"/>
      <c r="D36" s="94"/>
      <c r="E36" s="94"/>
      <c r="F36" s="88">
        <f t="shared" si="22"/>
        <v>0</v>
      </c>
      <c r="G36" s="94"/>
      <c r="H36" s="88">
        <f t="shared" si="21"/>
        <v>0</v>
      </c>
      <c r="I36" s="89">
        <f>SUM(H36/'B - Operating Budget'!$D$40)</f>
        <v>0</v>
      </c>
      <c r="J36" s="95"/>
      <c r="K36" s="96"/>
      <c r="N36" s="90">
        <f t="shared" si="4"/>
        <v>0</v>
      </c>
      <c r="O36" s="91">
        <f t="shared" si="5"/>
        <v>0</v>
      </c>
      <c r="P36" s="91">
        <f t="shared" si="14"/>
        <v>0</v>
      </c>
      <c r="Q36" s="91">
        <f t="shared" si="14"/>
        <v>0</v>
      </c>
      <c r="R36" s="91">
        <f t="shared" si="17"/>
        <v>0</v>
      </c>
      <c r="T36" s="91">
        <f t="shared" si="8"/>
        <v>0</v>
      </c>
      <c r="U36" s="91">
        <f t="shared" si="9"/>
        <v>0</v>
      </c>
      <c r="V36" s="91">
        <f t="shared" si="10"/>
        <v>0</v>
      </c>
      <c r="W36" s="91">
        <f t="shared" si="10"/>
        <v>0</v>
      </c>
      <c r="X36" s="92">
        <f t="shared" si="18"/>
        <v>0</v>
      </c>
    </row>
    <row r="37" spans="1:24" x14ac:dyDescent="0.25">
      <c r="A37" s="97"/>
      <c r="B37" s="93"/>
      <c r="C37" s="93"/>
      <c r="D37" s="94"/>
      <c r="E37" s="94"/>
      <c r="F37" s="88">
        <f t="shared" si="22"/>
        <v>0</v>
      </c>
      <c r="G37" s="94"/>
      <c r="H37" s="88">
        <f t="shared" si="21"/>
        <v>0</v>
      </c>
      <c r="I37" s="89">
        <f>SUM(H37/'B - Operating Budget'!$D$40)</f>
        <v>0</v>
      </c>
      <c r="J37" s="95"/>
      <c r="K37" s="96"/>
      <c r="N37" s="90">
        <f t="shared" si="4"/>
        <v>0</v>
      </c>
      <c r="O37" s="91">
        <f t="shared" si="5"/>
        <v>0</v>
      </c>
      <c r="P37" s="91">
        <f t="shared" si="14"/>
        <v>0</v>
      </c>
      <c r="Q37" s="91">
        <f t="shared" si="14"/>
        <v>0</v>
      </c>
      <c r="R37" s="91">
        <f t="shared" si="17"/>
        <v>0</v>
      </c>
      <c r="T37" s="91">
        <f t="shared" si="8"/>
        <v>0</v>
      </c>
      <c r="U37" s="91">
        <f t="shared" si="9"/>
        <v>0</v>
      </c>
      <c r="V37" s="91">
        <f t="shared" si="10"/>
        <v>0</v>
      </c>
      <c r="W37" s="91">
        <f t="shared" si="10"/>
        <v>0</v>
      </c>
      <c r="X37" s="92">
        <f t="shared" si="18"/>
        <v>0</v>
      </c>
    </row>
    <row r="38" spans="1:24" x14ac:dyDescent="0.25">
      <c r="A38" s="97"/>
      <c r="B38" s="93"/>
      <c r="C38" s="93"/>
      <c r="D38" s="94"/>
      <c r="E38" s="94"/>
      <c r="F38" s="88">
        <f t="shared" si="22"/>
        <v>0</v>
      </c>
      <c r="G38" s="94"/>
      <c r="H38" s="88">
        <f t="shared" si="21"/>
        <v>0</v>
      </c>
      <c r="I38" s="89">
        <f>SUM(H38/'B - Operating Budget'!$D$40)</f>
        <v>0</v>
      </c>
      <c r="J38" s="95"/>
      <c r="K38" s="96"/>
      <c r="N38" s="90">
        <f t="shared" si="4"/>
        <v>0</v>
      </c>
      <c r="O38" s="91">
        <f t="shared" si="5"/>
        <v>0</v>
      </c>
      <c r="P38" s="91">
        <f t="shared" si="14"/>
        <v>0</v>
      </c>
      <c r="Q38" s="91">
        <f t="shared" si="14"/>
        <v>0</v>
      </c>
      <c r="R38" s="91">
        <f t="shared" si="17"/>
        <v>0</v>
      </c>
      <c r="T38" s="91">
        <f t="shared" si="8"/>
        <v>0</v>
      </c>
      <c r="U38" s="91">
        <f t="shared" si="9"/>
        <v>0</v>
      </c>
      <c r="V38" s="91">
        <f t="shared" si="10"/>
        <v>0</v>
      </c>
      <c r="W38" s="91">
        <f t="shared" si="10"/>
        <v>0</v>
      </c>
      <c r="X38" s="92">
        <f t="shared" si="18"/>
        <v>0</v>
      </c>
    </row>
    <row r="39" spans="1:24" x14ac:dyDescent="0.25">
      <c r="A39" s="97"/>
      <c r="B39" s="93"/>
      <c r="C39" s="93"/>
      <c r="D39" s="94"/>
      <c r="E39" s="94"/>
      <c r="F39" s="88">
        <f t="shared" si="22"/>
        <v>0</v>
      </c>
      <c r="G39" s="94"/>
      <c r="H39" s="88">
        <f t="shared" si="21"/>
        <v>0</v>
      </c>
      <c r="I39" s="89">
        <f>SUM(H39/'B - Operating Budget'!$D$40)</f>
        <v>0</v>
      </c>
      <c r="J39" s="95"/>
      <c r="K39" s="96"/>
      <c r="N39" s="90">
        <f t="shared" si="4"/>
        <v>0</v>
      </c>
      <c r="O39" s="91">
        <f t="shared" si="5"/>
        <v>0</v>
      </c>
      <c r="P39" s="91">
        <f t="shared" si="14"/>
        <v>0</v>
      </c>
      <c r="Q39" s="91">
        <f t="shared" si="14"/>
        <v>0</v>
      </c>
      <c r="R39" s="91">
        <f t="shared" si="17"/>
        <v>0</v>
      </c>
      <c r="T39" s="91">
        <f t="shared" si="8"/>
        <v>0</v>
      </c>
      <c r="U39" s="91">
        <f t="shared" si="9"/>
        <v>0</v>
      </c>
      <c r="V39" s="91">
        <f t="shared" si="10"/>
        <v>0</v>
      </c>
      <c r="W39" s="91">
        <f t="shared" si="10"/>
        <v>0</v>
      </c>
      <c r="X39" s="92">
        <f t="shared" si="18"/>
        <v>0</v>
      </c>
    </row>
    <row r="40" spans="1:24" x14ac:dyDescent="0.25">
      <c r="A40" s="97"/>
      <c r="B40" s="93"/>
      <c r="C40" s="93"/>
      <c r="D40" s="94"/>
      <c r="E40" s="94"/>
      <c r="F40" s="88">
        <f t="shared" si="22"/>
        <v>0</v>
      </c>
      <c r="G40" s="94"/>
      <c r="H40" s="88">
        <f t="shared" si="21"/>
        <v>0</v>
      </c>
      <c r="I40" s="89">
        <f>SUM(H40/'B - Operating Budget'!$D$40)</f>
        <v>0</v>
      </c>
      <c r="J40" s="95"/>
      <c r="K40" s="96"/>
      <c r="N40" s="90">
        <f t="shared" si="4"/>
        <v>0</v>
      </c>
      <c r="O40" s="91">
        <f t="shared" si="5"/>
        <v>0</v>
      </c>
      <c r="P40" s="91">
        <f t="shared" si="14"/>
        <v>0</v>
      </c>
      <c r="Q40" s="91">
        <f t="shared" si="14"/>
        <v>0</v>
      </c>
      <c r="R40" s="91">
        <f t="shared" si="17"/>
        <v>0</v>
      </c>
      <c r="T40" s="91">
        <f t="shared" si="8"/>
        <v>0</v>
      </c>
      <c r="U40" s="91">
        <f t="shared" si="9"/>
        <v>0</v>
      </c>
      <c r="V40" s="91">
        <f t="shared" si="10"/>
        <v>0</v>
      </c>
      <c r="W40" s="91">
        <f t="shared" si="10"/>
        <v>0</v>
      </c>
      <c r="X40" s="92">
        <f t="shared" si="18"/>
        <v>0</v>
      </c>
    </row>
    <row r="41" spans="1:24" x14ac:dyDescent="0.25">
      <c r="A41" s="97"/>
      <c r="B41" s="93"/>
      <c r="C41" s="93"/>
      <c r="D41" s="94"/>
      <c r="E41" s="94"/>
      <c r="F41" s="88">
        <f t="shared" si="22"/>
        <v>0</v>
      </c>
      <c r="G41" s="94"/>
      <c r="H41" s="88">
        <f t="shared" si="21"/>
        <v>0</v>
      </c>
      <c r="I41" s="89">
        <f>SUM(H41/'B - Operating Budget'!$D$40)</f>
        <v>0</v>
      </c>
      <c r="J41" s="95"/>
      <c r="K41" s="96"/>
      <c r="N41" s="90">
        <f t="shared" si="4"/>
        <v>0</v>
      </c>
      <c r="O41" s="91">
        <f t="shared" si="5"/>
        <v>0</v>
      </c>
      <c r="P41" s="91">
        <f t="shared" si="14"/>
        <v>0</v>
      </c>
      <c r="Q41" s="91">
        <f t="shared" si="14"/>
        <v>0</v>
      </c>
      <c r="R41" s="91">
        <f t="shared" si="17"/>
        <v>0</v>
      </c>
      <c r="T41" s="91">
        <f t="shared" si="8"/>
        <v>0</v>
      </c>
      <c r="U41" s="91">
        <f t="shared" si="9"/>
        <v>0</v>
      </c>
      <c r="V41" s="91">
        <f t="shared" si="10"/>
        <v>0</v>
      </c>
      <c r="W41" s="91">
        <f t="shared" si="10"/>
        <v>0</v>
      </c>
      <c r="X41" s="92">
        <f t="shared" si="18"/>
        <v>0</v>
      </c>
    </row>
    <row r="42" spans="1:24" x14ac:dyDescent="0.25">
      <c r="A42" s="97"/>
      <c r="B42" s="93"/>
      <c r="C42" s="93"/>
      <c r="D42" s="94"/>
      <c r="E42" s="94"/>
      <c r="F42" s="88">
        <f t="shared" si="22"/>
        <v>0</v>
      </c>
      <c r="G42" s="94"/>
      <c r="H42" s="88">
        <f t="shared" si="21"/>
        <v>0</v>
      </c>
      <c r="I42" s="89">
        <f>SUM(H42/'B - Operating Budget'!$D$40)</f>
        <v>0</v>
      </c>
      <c r="J42" s="95"/>
      <c r="K42" s="96"/>
      <c r="N42" s="90">
        <f t="shared" si="4"/>
        <v>0</v>
      </c>
      <c r="O42" s="91">
        <f t="shared" si="5"/>
        <v>0</v>
      </c>
      <c r="P42" s="91">
        <f t="shared" si="14"/>
        <v>0</v>
      </c>
      <c r="Q42" s="91">
        <f t="shared" si="14"/>
        <v>0</v>
      </c>
      <c r="R42" s="91">
        <f t="shared" si="17"/>
        <v>0</v>
      </c>
      <c r="T42" s="91">
        <f t="shared" si="8"/>
        <v>0</v>
      </c>
      <c r="U42" s="91">
        <f t="shared" si="9"/>
        <v>0</v>
      </c>
      <c r="V42" s="91">
        <f t="shared" si="10"/>
        <v>0</v>
      </c>
      <c r="W42" s="91">
        <f t="shared" si="10"/>
        <v>0</v>
      </c>
      <c r="X42" s="92">
        <f t="shared" si="18"/>
        <v>0</v>
      </c>
    </row>
    <row r="43" spans="1:24" x14ac:dyDescent="0.25">
      <c r="A43" s="97"/>
      <c r="B43" s="93"/>
      <c r="C43" s="93"/>
      <c r="D43" s="94"/>
      <c r="E43" s="94"/>
      <c r="F43" s="88">
        <f t="shared" si="22"/>
        <v>0</v>
      </c>
      <c r="G43" s="94"/>
      <c r="H43" s="88">
        <f t="shared" si="21"/>
        <v>0</v>
      </c>
      <c r="I43" s="89">
        <f>SUM(H43/'B - Operating Budget'!$D$40)</f>
        <v>0</v>
      </c>
      <c r="J43" s="95"/>
      <c r="K43" s="96"/>
      <c r="N43" s="90">
        <f t="shared" si="4"/>
        <v>0</v>
      </c>
      <c r="O43" s="91">
        <f t="shared" si="5"/>
        <v>0</v>
      </c>
      <c r="P43" s="91">
        <f t="shared" si="14"/>
        <v>0</v>
      </c>
      <c r="Q43" s="91">
        <f t="shared" si="14"/>
        <v>0</v>
      </c>
      <c r="R43" s="91">
        <f t="shared" si="17"/>
        <v>0</v>
      </c>
      <c r="T43" s="91">
        <f t="shared" si="8"/>
        <v>0</v>
      </c>
      <c r="U43" s="91">
        <f t="shared" si="9"/>
        <v>0</v>
      </c>
      <c r="V43" s="91">
        <f t="shared" si="10"/>
        <v>0</v>
      </c>
      <c r="W43" s="91">
        <f t="shared" si="10"/>
        <v>0</v>
      </c>
      <c r="X43" s="92">
        <f t="shared" si="18"/>
        <v>0</v>
      </c>
    </row>
    <row r="44" spans="1:24" x14ac:dyDescent="0.25">
      <c r="A44" s="97"/>
      <c r="B44" s="93"/>
      <c r="C44" s="93"/>
      <c r="D44" s="94"/>
      <c r="E44" s="94"/>
      <c r="F44" s="88">
        <f t="shared" si="22"/>
        <v>0</v>
      </c>
      <c r="G44" s="94"/>
      <c r="H44" s="88">
        <f t="shared" si="21"/>
        <v>0</v>
      </c>
      <c r="I44" s="89">
        <f>SUM(H44/'B - Operating Budget'!$D$40)</f>
        <v>0</v>
      </c>
      <c r="J44" s="95"/>
      <c r="K44" s="96"/>
      <c r="N44" s="90">
        <f t="shared" si="4"/>
        <v>0</v>
      </c>
      <c r="O44" s="91">
        <f t="shared" si="5"/>
        <v>0</v>
      </c>
      <c r="P44" s="91">
        <f t="shared" si="14"/>
        <v>0</v>
      </c>
      <c r="Q44" s="91">
        <f t="shared" si="14"/>
        <v>0</v>
      </c>
      <c r="R44" s="91">
        <f t="shared" si="17"/>
        <v>0</v>
      </c>
      <c r="T44" s="91">
        <f t="shared" si="8"/>
        <v>0</v>
      </c>
      <c r="U44" s="91">
        <f t="shared" si="9"/>
        <v>0</v>
      </c>
      <c r="V44" s="91">
        <f t="shared" si="10"/>
        <v>0</v>
      </c>
      <c r="W44" s="91">
        <f t="shared" si="10"/>
        <v>0</v>
      </c>
      <c r="X44" s="92">
        <f t="shared" si="18"/>
        <v>0</v>
      </c>
    </row>
    <row r="45" spans="1:24" x14ac:dyDescent="0.25">
      <c r="A45" s="97"/>
      <c r="B45" s="93"/>
      <c r="C45" s="93"/>
      <c r="D45" s="94"/>
      <c r="E45" s="94"/>
      <c r="F45" s="88">
        <f t="shared" si="22"/>
        <v>0</v>
      </c>
      <c r="G45" s="94"/>
      <c r="H45" s="88">
        <f t="shared" si="21"/>
        <v>0</v>
      </c>
      <c r="I45" s="89">
        <f>SUM(H45/'B - Operating Budget'!$D$40)</f>
        <v>0</v>
      </c>
      <c r="J45" s="95"/>
      <c r="K45" s="96"/>
      <c r="N45" s="90">
        <f t="shared" si="4"/>
        <v>0</v>
      </c>
      <c r="O45" s="91">
        <f t="shared" si="5"/>
        <v>0</v>
      </c>
      <c r="P45" s="91">
        <f t="shared" si="14"/>
        <v>0</v>
      </c>
      <c r="Q45" s="91">
        <f t="shared" si="14"/>
        <v>0</v>
      </c>
      <c r="R45" s="91">
        <f t="shared" si="17"/>
        <v>0</v>
      </c>
      <c r="T45" s="91">
        <f t="shared" si="8"/>
        <v>0</v>
      </c>
      <c r="U45" s="91">
        <f t="shared" si="9"/>
        <v>0</v>
      </c>
      <c r="V45" s="91">
        <f t="shared" si="10"/>
        <v>0</v>
      </c>
      <c r="W45" s="91">
        <f t="shared" si="10"/>
        <v>0</v>
      </c>
      <c r="X45" s="92">
        <f t="shared" si="18"/>
        <v>0</v>
      </c>
    </row>
    <row r="46" spans="1:24" x14ac:dyDescent="0.25">
      <c r="A46" s="97"/>
      <c r="B46" s="93"/>
      <c r="C46" s="93"/>
      <c r="D46" s="94"/>
      <c r="E46" s="94"/>
      <c r="F46" s="88">
        <f t="shared" si="22"/>
        <v>0</v>
      </c>
      <c r="G46" s="94"/>
      <c r="H46" s="88">
        <f t="shared" si="21"/>
        <v>0</v>
      </c>
      <c r="I46" s="89">
        <f>SUM(H46/'B - Operating Budget'!$D$40)</f>
        <v>0</v>
      </c>
      <c r="J46" s="95"/>
      <c r="K46" s="96"/>
      <c r="N46" s="90">
        <f t="shared" si="4"/>
        <v>0</v>
      </c>
      <c r="O46" s="91">
        <f t="shared" si="5"/>
        <v>0</v>
      </c>
      <c r="P46" s="91">
        <f t="shared" si="14"/>
        <v>0</v>
      </c>
      <c r="Q46" s="91">
        <f t="shared" si="14"/>
        <v>0</v>
      </c>
      <c r="R46" s="91">
        <f t="shared" si="17"/>
        <v>0</v>
      </c>
      <c r="T46" s="91">
        <f t="shared" si="8"/>
        <v>0</v>
      </c>
      <c r="U46" s="91">
        <f t="shared" si="9"/>
        <v>0</v>
      </c>
      <c r="V46" s="91">
        <f t="shared" si="10"/>
        <v>0</v>
      </c>
      <c r="W46" s="91">
        <f t="shared" si="10"/>
        <v>0</v>
      </c>
      <c r="X46" s="92">
        <f t="shared" si="18"/>
        <v>0</v>
      </c>
    </row>
    <row r="47" spans="1:24" x14ac:dyDescent="0.25">
      <c r="A47" s="97"/>
      <c r="B47" s="93"/>
      <c r="C47" s="93"/>
      <c r="D47" s="94"/>
      <c r="E47" s="94"/>
      <c r="F47" s="88">
        <f t="shared" si="22"/>
        <v>0</v>
      </c>
      <c r="G47" s="94"/>
      <c r="H47" s="88">
        <f t="shared" si="21"/>
        <v>0</v>
      </c>
      <c r="I47" s="89">
        <f>SUM(H47/'B - Operating Budget'!$D$40)</f>
        <v>0</v>
      </c>
      <c r="J47" s="95"/>
      <c r="K47" s="96"/>
      <c r="N47" s="90">
        <f t="shared" si="4"/>
        <v>0</v>
      </c>
      <c r="O47" s="91">
        <f t="shared" si="5"/>
        <v>0</v>
      </c>
      <c r="P47" s="91">
        <f t="shared" si="14"/>
        <v>0</v>
      </c>
      <c r="Q47" s="91">
        <f t="shared" si="14"/>
        <v>0</v>
      </c>
      <c r="R47" s="91">
        <f t="shared" si="17"/>
        <v>0</v>
      </c>
      <c r="T47" s="91">
        <f t="shared" si="8"/>
        <v>0</v>
      </c>
      <c r="U47" s="91">
        <f t="shared" si="9"/>
        <v>0</v>
      </c>
      <c r="V47" s="91">
        <f t="shared" si="10"/>
        <v>0</v>
      </c>
      <c r="W47" s="91">
        <f t="shared" si="10"/>
        <v>0</v>
      </c>
      <c r="X47" s="92">
        <f t="shared" si="18"/>
        <v>0</v>
      </c>
    </row>
    <row r="48" spans="1:24" x14ac:dyDescent="0.25">
      <c r="A48" s="97"/>
      <c r="B48" s="93"/>
      <c r="C48" s="93"/>
      <c r="D48" s="94"/>
      <c r="E48" s="94"/>
      <c r="F48" s="88">
        <f t="shared" si="22"/>
        <v>0</v>
      </c>
      <c r="G48" s="94"/>
      <c r="H48" s="88">
        <f t="shared" si="21"/>
        <v>0</v>
      </c>
      <c r="I48" s="89">
        <f>SUM(H48/'B - Operating Budget'!$D$40)</f>
        <v>0</v>
      </c>
      <c r="J48" s="95"/>
      <c r="K48" s="96"/>
      <c r="N48" s="90">
        <f t="shared" si="4"/>
        <v>0</v>
      </c>
      <c r="O48" s="91">
        <f t="shared" si="5"/>
        <v>0</v>
      </c>
      <c r="P48" s="91">
        <f t="shared" si="14"/>
        <v>0</v>
      </c>
      <c r="Q48" s="91">
        <f t="shared" si="14"/>
        <v>0</v>
      </c>
      <c r="R48" s="91">
        <f t="shared" si="17"/>
        <v>0</v>
      </c>
      <c r="T48" s="91">
        <f t="shared" si="8"/>
        <v>0</v>
      </c>
      <c r="U48" s="91">
        <f t="shared" si="9"/>
        <v>0</v>
      </c>
      <c r="V48" s="91">
        <f t="shared" si="10"/>
        <v>0</v>
      </c>
      <c r="W48" s="91">
        <f t="shared" si="10"/>
        <v>0</v>
      </c>
      <c r="X48" s="92">
        <f t="shared" si="18"/>
        <v>0</v>
      </c>
    </row>
    <row r="49" spans="1:24" x14ac:dyDescent="0.25">
      <c r="A49" s="97"/>
      <c r="B49" s="93"/>
      <c r="C49" s="93"/>
      <c r="D49" s="94"/>
      <c r="E49" s="94"/>
      <c r="F49" s="88">
        <f t="shared" si="22"/>
        <v>0</v>
      </c>
      <c r="G49" s="94"/>
      <c r="H49" s="88">
        <f t="shared" si="21"/>
        <v>0</v>
      </c>
      <c r="I49" s="89">
        <f>SUM(H49/'B - Operating Budget'!$D$40)</f>
        <v>0</v>
      </c>
      <c r="J49" s="95"/>
      <c r="K49" s="96"/>
      <c r="N49" s="90">
        <f t="shared" si="4"/>
        <v>0</v>
      </c>
      <c r="O49" s="91">
        <f t="shared" si="5"/>
        <v>0</v>
      </c>
      <c r="P49" s="91">
        <f t="shared" si="14"/>
        <v>0</v>
      </c>
      <c r="Q49" s="91">
        <f t="shared" si="14"/>
        <v>0</v>
      </c>
      <c r="R49" s="91">
        <f t="shared" si="17"/>
        <v>0</v>
      </c>
      <c r="T49" s="91">
        <f t="shared" si="8"/>
        <v>0</v>
      </c>
      <c r="U49" s="91">
        <f t="shared" si="9"/>
        <v>0</v>
      </c>
      <c r="V49" s="91">
        <f t="shared" si="10"/>
        <v>0</v>
      </c>
      <c r="W49" s="91">
        <f t="shared" si="10"/>
        <v>0</v>
      </c>
      <c r="X49" s="92">
        <f t="shared" si="18"/>
        <v>0</v>
      </c>
    </row>
    <row r="50" spans="1:24" x14ac:dyDescent="0.25">
      <c r="A50" s="97"/>
      <c r="B50" s="93"/>
      <c r="C50" s="93"/>
      <c r="D50" s="94"/>
      <c r="E50" s="94"/>
      <c r="F50" s="88">
        <f t="shared" si="22"/>
        <v>0</v>
      </c>
      <c r="G50" s="94"/>
      <c r="H50" s="88">
        <f t="shared" si="21"/>
        <v>0</v>
      </c>
      <c r="I50" s="89">
        <f>SUM(H50/'B - Operating Budget'!$D$40)</f>
        <v>0</v>
      </c>
      <c r="J50" s="95"/>
      <c r="K50" s="96"/>
      <c r="N50" s="90">
        <f t="shared" si="4"/>
        <v>0</v>
      </c>
      <c r="O50" s="91">
        <f t="shared" si="5"/>
        <v>0</v>
      </c>
      <c r="P50" s="91">
        <f t="shared" si="14"/>
        <v>0</v>
      </c>
      <c r="Q50" s="91">
        <f t="shared" si="14"/>
        <v>0</v>
      </c>
      <c r="R50" s="91">
        <f t="shared" si="17"/>
        <v>0</v>
      </c>
      <c r="T50" s="91">
        <f t="shared" si="8"/>
        <v>0</v>
      </c>
      <c r="U50" s="91">
        <f t="shared" si="9"/>
        <v>0</v>
      </c>
      <c r="V50" s="91">
        <f t="shared" si="10"/>
        <v>0</v>
      </c>
      <c r="W50" s="91">
        <f t="shared" si="10"/>
        <v>0</v>
      </c>
      <c r="X50" s="92">
        <f t="shared" si="18"/>
        <v>0</v>
      </c>
    </row>
    <row r="51" spans="1:24" x14ac:dyDescent="0.25">
      <c r="A51" s="97"/>
      <c r="B51" s="93"/>
      <c r="C51" s="93"/>
      <c r="D51" s="94"/>
      <c r="E51" s="94"/>
      <c r="F51" s="88">
        <f t="shared" si="22"/>
        <v>0</v>
      </c>
      <c r="G51" s="94"/>
      <c r="H51" s="88">
        <f t="shared" si="21"/>
        <v>0</v>
      </c>
      <c r="I51" s="89">
        <f>SUM(H51/'B - Operating Budget'!$D$40)</f>
        <v>0</v>
      </c>
      <c r="J51" s="95"/>
      <c r="K51" s="96"/>
      <c r="N51" s="90">
        <f t="shared" si="4"/>
        <v>0</v>
      </c>
      <c r="O51" s="91">
        <f t="shared" si="5"/>
        <v>0</v>
      </c>
      <c r="P51" s="91">
        <f t="shared" si="14"/>
        <v>0</v>
      </c>
      <c r="Q51" s="91">
        <f t="shared" si="14"/>
        <v>0</v>
      </c>
      <c r="R51" s="91">
        <f t="shared" si="17"/>
        <v>0</v>
      </c>
      <c r="T51" s="91">
        <f t="shared" si="8"/>
        <v>0</v>
      </c>
      <c r="U51" s="91">
        <f t="shared" si="9"/>
        <v>0</v>
      </c>
      <c r="V51" s="91">
        <f t="shared" si="10"/>
        <v>0</v>
      </c>
      <c r="W51" s="91">
        <f t="shared" si="10"/>
        <v>0</v>
      </c>
      <c r="X51" s="92">
        <f t="shared" si="18"/>
        <v>0</v>
      </c>
    </row>
    <row r="52" spans="1:24" x14ac:dyDescent="0.25">
      <c r="A52" s="97"/>
      <c r="B52" s="93"/>
      <c r="C52" s="93"/>
      <c r="D52" s="94"/>
      <c r="E52" s="94"/>
      <c r="F52" s="88">
        <f t="shared" si="22"/>
        <v>0</v>
      </c>
      <c r="G52" s="94"/>
      <c r="H52" s="88">
        <f t="shared" si="21"/>
        <v>0</v>
      </c>
      <c r="I52" s="89">
        <f>SUM(H52/'B - Operating Budget'!$D$40)</f>
        <v>0</v>
      </c>
      <c r="J52" s="95"/>
      <c r="K52" s="96"/>
      <c r="N52" s="90">
        <f t="shared" si="4"/>
        <v>0</v>
      </c>
      <c r="O52" s="91">
        <f t="shared" si="5"/>
        <v>0</v>
      </c>
      <c r="P52" s="91">
        <f t="shared" si="14"/>
        <v>0</v>
      </c>
      <c r="Q52" s="91">
        <f t="shared" si="14"/>
        <v>0</v>
      </c>
      <c r="R52" s="91">
        <f t="shared" si="17"/>
        <v>0</v>
      </c>
      <c r="T52" s="91">
        <f t="shared" si="8"/>
        <v>0</v>
      </c>
      <c r="U52" s="91">
        <f t="shared" si="9"/>
        <v>0</v>
      </c>
      <c r="V52" s="91">
        <f t="shared" si="10"/>
        <v>0</v>
      </c>
      <c r="W52" s="91">
        <f t="shared" si="10"/>
        <v>0</v>
      </c>
      <c r="X52" s="92">
        <f t="shared" si="18"/>
        <v>0</v>
      </c>
    </row>
    <row r="53" spans="1:24" x14ac:dyDescent="0.25">
      <c r="A53" s="97"/>
      <c r="B53" s="93"/>
      <c r="C53" s="93"/>
      <c r="D53" s="94"/>
      <c r="E53" s="94"/>
      <c r="F53" s="88">
        <f t="shared" si="22"/>
        <v>0</v>
      </c>
      <c r="G53" s="94"/>
      <c r="H53" s="88">
        <f t="shared" si="21"/>
        <v>0</v>
      </c>
      <c r="I53" s="89">
        <f>SUM(H53/'B - Operating Budget'!$D$40)</f>
        <v>0</v>
      </c>
      <c r="J53" s="95"/>
      <c r="K53" s="96"/>
      <c r="N53" s="90">
        <f t="shared" si="4"/>
        <v>0</v>
      </c>
      <c r="O53" s="91">
        <f t="shared" si="5"/>
        <v>0</v>
      </c>
      <c r="P53" s="91">
        <f t="shared" si="14"/>
        <v>0</v>
      </c>
      <c r="Q53" s="91">
        <f t="shared" si="14"/>
        <v>0</v>
      </c>
      <c r="R53" s="91">
        <f t="shared" si="17"/>
        <v>0</v>
      </c>
      <c r="T53" s="91">
        <f t="shared" si="8"/>
        <v>0</v>
      </c>
      <c r="U53" s="91">
        <f t="shared" si="9"/>
        <v>0</v>
      </c>
      <c r="V53" s="91">
        <f t="shared" si="10"/>
        <v>0</v>
      </c>
      <c r="W53" s="91">
        <f t="shared" si="10"/>
        <v>0</v>
      </c>
      <c r="X53" s="92">
        <f t="shared" si="18"/>
        <v>0</v>
      </c>
    </row>
    <row r="54" spans="1:24" x14ac:dyDescent="0.25">
      <c r="A54" s="97"/>
      <c r="B54" s="93"/>
      <c r="C54" s="93"/>
      <c r="D54" s="94"/>
      <c r="E54" s="94"/>
      <c r="F54" s="88">
        <f t="shared" si="22"/>
        <v>0</v>
      </c>
      <c r="G54" s="94"/>
      <c r="H54" s="88">
        <f t="shared" si="21"/>
        <v>0</v>
      </c>
      <c r="I54" s="89">
        <f>SUM(H54/'B - Operating Budget'!$D$40)</f>
        <v>0</v>
      </c>
      <c r="J54" s="95"/>
      <c r="K54" s="96"/>
      <c r="N54" s="90">
        <f t="shared" si="4"/>
        <v>0</v>
      </c>
      <c r="O54" s="91">
        <f t="shared" si="5"/>
        <v>0</v>
      </c>
      <c r="P54" s="91">
        <f t="shared" si="14"/>
        <v>0</v>
      </c>
      <c r="Q54" s="91">
        <f t="shared" si="14"/>
        <v>0</v>
      </c>
      <c r="R54" s="91">
        <f t="shared" si="17"/>
        <v>0</v>
      </c>
      <c r="T54" s="91">
        <f t="shared" si="8"/>
        <v>0</v>
      </c>
      <c r="U54" s="91">
        <f t="shared" si="9"/>
        <v>0</v>
      </c>
      <c r="V54" s="91">
        <f t="shared" si="10"/>
        <v>0</v>
      </c>
      <c r="W54" s="91">
        <f t="shared" si="10"/>
        <v>0</v>
      </c>
      <c r="X54" s="92">
        <f t="shared" si="18"/>
        <v>0</v>
      </c>
    </row>
    <row r="55" spans="1:24" x14ac:dyDescent="0.25">
      <c r="A55" s="97"/>
      <c r="B55" s="93"/>
      <c r="C55" s="93"/>
      <c r="D55" s="94"/>
      <c r="E55" s="94"/>
      <c r="F55" s="88">
        <f t="shared" si="22"/>
        <v>0</v>
      </c>
      <c r="G55" s="94"/>
      <c r="H55" s="88">
        <f t="shared" si="21"/>
        <v>0</v>
      </c>
      <c r="I55" s="89">
        <f>SUM(H55/'B - Operating Budget'!$D$40)</f>
        <v>0</v>
      </c>
      <c r="J55" s="95"/>
      <c r="K55" s="96"/>
      <c r="N55" s="90">
        <f t="shared" si="4"/>
        <v>0</v>
      </c>
      <c r="O55" s="91">
        <f t="shared" si="5"/>
        <v>0</v>
      </c>
      <c r="P55" s="91">
        <f t="shared" si="14"/>
        <v>0</v>
      </c>
      <c r="Q55" s="91">
        <f t="shared" si="14"/>
        <v>0</v>
      </c>
      <c r="R55" s="91">
        <f t="shared" si="17"/>
        <v>0</v>
      </c>
      <c r="T55" s="91">
        <f t="shared" si="8"/>
        <v>0</v>
      </c>
      <c r="U55" s="91">
        <f t="shared" si="9"/>
        <v>0</v>
      </c>
      <c r="V55" s="91">
        <f t="shared" si="10"/>
        <v>0</v>
      </c>
      <c r="W55" s="91">
        <f t="shared" si="10"/>
        <v>0</v>
      </c>
      <c r="X55" s="92">
        <f t="shared" si="18"/>
        <v>0</v>
      </c>
    </row>
    <row r="56" spans="1:24" x14ac:dyDescent="0.25">
      <c r="A56" s="97"/>
      <c r="B56" s="93"/>
      <c r="C56" s="93"/>
      <c r="D56" s="94"/>
      <c r="E56" s="94"/>
      <c r="F56" s="88">
        <f t="shared" si="22"/>
        <v>0</v>
      </c>
      <c r="G56" s="94"/>
      <c r="H56" s="88">
        <f t="shared" si="21"/>
        <v>0</v>
      </c>
      <c r="I56" s="89">
        <f>SUM(H56/'B - Operating Budget'!$D$40)</f>
        <v>0</v>
      </c>
      <c r="J56" s="95"/>
      <c r="K56" s="96"/>
      <c r="N56" s="90">
        <f t="shared" si="4"/>
        <v>0</v>
      </c>
      <c r="O56" s="91">
        <f t="shared" si="5"/>
        <v>0</v>
      </c>
      <c r="P56" s="91">
        <f t="shared" si="14"/>
        <v>0</v>
      </c>
      <c r="Q56" s="91">
        <f t="shared" si="14"/>
        <v>0</v>
      </c>
      <c r="R56" s="91">
        <f t="shared" si="17"/>
        <v>0</v>
      </c>
      <c r="T56" s="91">
        <f t="shared" si="8"/>
        <v>0</v>
      </c>
      <c r="U56" s="91">
        <f t="shared" si="9"/>
        <v>0</v>
      </c>
      <c r="V56" s="91">
        <f t="shared" si="10"/>
        <v>0</v>
      </c>
      <c r="W56" s="91">
        <f t="shared" si="10"/>
        <v>0</v>
      </c>
      <c r="X56" s="92">
        <f t="shared" si="18"/>
        <v>0</v>
      </c>
    </row>
    <row r="57" spans="1:24" x14ac:dyDescent="0.25">
      <c r="A57" s="97"/>
      <c r="B57" s="93"/>
      <c r="C57" s="93"/>
      <c r="D57" s="94"/>
      <c r="E57" s="94"/>
      <c r="F57" s="88">
        <f t="shared" si="22"/>
        <v>0</v>
      </c>
      <c r="G57" s="94"/>
      <c r="H57" s="88">
        <f t="shared" si="21"/>
        <v>0</v>
      </c>
      <c r="I57" s="89">
        <f>SUM(H57/'B - Operating Budget'!$D$40)</f>
        <v>0</v>
      </c>
      <c r="J57" s="95"/>
      <c r="K57" s="96"/>
      <c r="N57" s="90">
        <f t="shared" si="4"/>
        <v>0</v>
      </c>
      <c r="O57" s="91">
        <f t="shared" si="5"/>
        <v>0</v>
      </c>
      <c r="P57" s="91">
        <f t="shared" si="14"/>
        <v>0</v>
      </c>
      <c r="Q57" s="91">
        <f t="shared" si="14"/>
        <v>0</v>
      </c>
      <c r="R57" s="91">
        <f t="shared" si="17"/>
        <v>0</v>
      </c>
      <c r="T57" s="91">
        <f t="shared" si="8"/>
        <v>0</v>
      </c>
      <c r="U57" s="91">
        <f t="shared" si="9"/>
        <v>0</v>
      </c>
      <c r="V57" s="91">
        <f t="shared" si="10"/>
        <v>0</v>
      </c>
      <c r="W57" s="91">
        <f t="shared" si="10"/>
        <v>0</v>
      </c>
      <c r="X57" s="92">
        <f t="shared" si="18"/>
        <v>0</v>
      </c>
    </row>
    <row r="58" spans="1:24" x14ac:dyDescent="0.25">
      <c r="A58" s="97"/>
      <c r="B58" s="93"/>
      <c r="C58" s="93"/>
      <c r="D58" s="94"/>
      <c r="E58" s="94"/>
      <c r="F58" s="88">
        <f t="shared" si="12"/>
        <v>0</v>
      </c>
      <c r="G58" s="94"/>
      <c r="H58" s="88">
        <f t="shared" si="3"/>
        <v>0</v>
      </c>
      <c r="I58" s="89">
        <f>SUM(H58/'B - Operating Budget'!$D$40)</f>
        <v>0</v>
      </c>
      <c r="J58" s="95"/>
      <c r="K58" s="96"/>
      <c r="N58" s="90">
        <f t="shared" si="4"/>
        <v>0</v>
      </c>
      <c r="O58" s="91">
        <f t="shared" si="5"/>
        <v>0</v>
      </c>
      <c r="P58" s="91">
        <f t="shared" si="14"/>
        <v>0</v>
      </c>
      <c r="Q58" s="91">
        <f t="shared" si="14"/>
        <v>0</v>
      </c>
      <c r="R58" s="91">
        <f t="shared" si="13"/>
        <v>0</v>
      </c>
      <c r="T58" s="91">
        <f t="shared" si="8"/>
        <v>0</v>
      </c>
      <c r="U58" s="91">
        <f t="shared" si="9"/>
        <v>0</v>
      </c>
      <c r="V58" s="91">
        <f t="shared" si="10"/>
        <v>0</v>
      </c>
      <c r="W58" s="91">
        <f t="shared" si="10"/>
        <v>0</v>
      </c>
      <c r="X58" s="92">
        <f t="shared" si="11"/>
        <v>0</v>
      </c>
    </row>
    <row r="59" spans="1:24" x14ac:dyDescent="0.25">
      <c r="A59" s="98"/>
      <c r="B59" s="99"/>
      <c r="C59" s="99"/>
      <c r="D59" s="100"/>
      <c r="E59" s="100"/>
      <c r="F59" s="88">
        <f t="shared" si="12"/>
        <v>0</v>
      </c>
      <c r="G59" s="94"/>
      <c r="H59" s="88">
        <f t="shared" si="3"/>
        <v>0</v>
      </c>
      <c r="I59" s="89">
        <f>SUM(H59/'B - Operating Budget'!$D$40)</f>
        <v>0</v>
      </c>
      <c r="J59" s="95"/>
      <c r="K59" s="96"/>
      <c r="N59" s="90">
        <f t="shared" si="4"/>
        <v>0</v>
      </c>
      <c r="O59" s="91">
        <f t="shared" si="5"/>
        <v>0</v>
      </c>
      <c r="P59" s="91">
        <f t="shared" si="14"/>
        <v>0</v>
      </c>
      <c r="Q59" s="91">
        <f t="shared" si="14"/>
        <v>0</v>
      </c>
      <c r="R59" s="91">
        <f t="shared" si="13"/>
        <v>0</v>
      </c>
      <c r="T59" s="91">
        <f t="shared" si="8"/>
        <v>0</v>
      </c>
      <c r="U59" s="91">
        <f t="shared" si="9"/>
        <v>0</v>
      </c>
      <c r="V59" s="91">
        <f t="shared" si="10"/>
        <v>0</v>
      </c>
      <c r="W59" s="91">
        <f t="shared" si="10"/>
        <v>0</v>
      </c>
      <c r="X59" s="92">
        <f t="shared" si="11"/>
        <v>0</v>
      </c>
    </row>
    <row r="60" spans="1:24" x14ac:dyDescent="0.25">
      <c r="A60" s="97"/>
      <c r="B60" s="93"/>
      <c r="C60" s="93"/>
      <c r="D60" s="94"/>
      <c r="E60" s="94"/>
      <c r="F60" s="88">
        <f t="shared" si="12"/>
        <v>0</v>
      </c>
      <c r="G60" s="94"/>
      <c r="H60" s="88">
        <f t="shared" si="3"/>
        <v>0</v>
      </c>
      <c r="I60" s="89">
        <f>SUM(H60/'B - Operating Budget'!$D$40)</f>
        <v>0</v>
      </c>
      <c r="J60" s="95"/>
      <c r="K60" s="96"/>
      <c r="N60" s="90">
        <f t="shared" si="4"/>
        <v>0</v>
      </c>
      <c r="O60" s="91">
        <f t="shared" si="5"/>
        <v>0</v>
      </c>
      <c r="P60" s="91">
        <f t="shared" si="14"/>
        <v>0</v>
      </c>
      <c r="Q60" s="91">
        <f t="shared" si="14"/>
        <v>0</v>
      </c>
      <c r="R60" s="91">
        <f t="shared" si="13"/>
        <v>0</v>
      </c>
      <c r="T60" s="91">
        <f t="shared" si="8"/>
        <v>0</v>
      </c>
      <c r="U60" s="91">
        <f t="shared" si="9"/>
        <v>0</v>
      </c>
      <c r="V60" s="91">
        <f t="shared" si="10"/>
        <v>0</v>
      </c>
      <c r="W60" s="91">
        <f t="shared" si="10"/>
        <v>0</v>
      </c>
      <c r="X60" s="92">
        <f t="shared" si="11"/>
        <v>0</v>
      </c>
    </row>
    <row r="61" spans="1:24" x14ac:dyDescent="0.25">
      <c r="A61" s="97"/>
      <c r="B61" s="93"/>
      <c r="C61" s="93"/>
      <c r="D61" s="94"/>
      <c r="E61" s="94"/>
      <c r="F61" s="88">
        <f t="shared" si="12"/>
        <v>0</v>
      </c>
      <c r="G61" s="94"/>
      <c r="H61" s="88">
        <f t="shared" si="3"/>
        <v>0</v>
      </c>
      <c r="I61" s="89">
        <f>SUM(H61/'B - Operating Budget'!$D$40)</f>
        <v>0</v>
      </c>
      <c r="J61" s="95"/>
      <c r="K61" s="96"/>
      <c r="N61" s="90">
        <f t="shared" si="4"/>
        <v>0</v>
      </c>
      <c r="O61" s="91">
        <f t="shared" si="5"/>
        <v>0</v>
      </c>
      <c r="P61" s="91">
        <f t="shared" si="14"/>
        <v>0</v>
      </c>
      <c r="Q61" s="91">
        <f t="shared" si="14"/>
        <v>0</v>
      </c>
      <c r="R61" s="91">
        <f t="shared" si="13"/>
        <v>0</v>
      </c>
      <c r="T61" s="91">
        <f t="shared" si="8"/>
        <v>0</v>
      </c>
      <c r="U61" s="91">
        <f t="shared" si="9"/>
        <v>0</v>
      </c>
      <c r="V61" s="91">
        <f t="shared" si="10"/>
        <v>0</v>
      </c>
      <c r="W61" s="91">
        <f t="shared" si="10"/>
        <v>0</v>
      </c>
      <c r="X61" s="92">
        <f t="shared" si="11"/>
        <v>0</v>
      </c>
    </row>
    <row r="62" spans="1:24" x14ac:dyDescent="0.25">
      <c r="A62" s="97"/>
      <c r="B62" s="93"/>
      <c r="C62" s="93"/>
      <c r="D62" s="94"/>
      <c r="E62" s="94"/>
      <c r="F62" s="88">
        <f t="shared" si="12"/>
        <v>0</v>
      </c>
      <c r="G62" s="94"/>
      <c r="H62" s="88">
        <f t="shared" si="3"/>
        <v>0</v>
      </c>
      <c r="I62" s="89">
        <f>SUM(H62/'B - Operating Budget'!$D$40)</f>
        <v>0</v>
      </c>
      <c r="J62" s="95"/>
      <c r="K62" s="96"/>
      <c r="N62" s="90">
        <f t="shared" si="4"/>
        <v>0</v>
      </c>
      <c r="O62" s="91">
        <f t="shared" si="5"/>
        <v>0</v>
      </c>
      <c r="P62" s="91">
        <f t="shared" si="14"/>
        <v>0</v>
      </c>
      <c r="Q62" s="91">
        <f t="shared" si="14"/>
        <v>0</v>
      </c>
      <c r="R62" s="91">
        <f t="shared" si="13"/>
        <v>0</v>
      </c>
      <c r="T62" s="91">
        <f t="shared" si="8"/>
        <v>0</v>
      </c>
      <c r="U62" s="91">
        <f t="shared" si="9"/>
        <v>0</v>
      </c>
      <c r="V62" s="91">
        <f t="shared" si="10"/>
        <v>0</v>
      </c>
      <c r="W62" s="91">
        <f t="shared" si="10"/>
        <v>0</v>
      </c>
      <c r="X62" s="92">
        <f t="shared" si="11"/>
        <v>0</v>
      </c>
    </row>
    <row r="63" spans="1:24" x14ac:dyDescent="0.25">
      <c r="A63" s="97"/>
      <c r="B63" s="93"/>
      <c r="C63" s="93"/>
      <c r="D63" s="94"/>
      <c r="E63" s="94"/>
      <c r="F63" s="88">
        <f t="shared" si="12"/>
        <v>0</v>
      </c>
      <c r="G63" s="94"/>
      <c r="H63" s="88">
        <f>SUM(F63:G63)</f>
        <v>0</v>
      </c>
      <c r="I63" s="89">
        <f>SUM(H63/'B - Operating Budget'!$D$40)</f>
        <v>0</v>
      </c>
      <c r="J63" s="95"/>
      <c r="K63" s="96"/>
      <c r="N63" s="90">
        <f t="shared" si="4"/>
        <v>0</v>
      </c>
      <c r="O63" s="91">
        <f t="shared" si="5"/>
        <v>0</v>
      </c>
      <c r="P63" s="91">
        <f t="shared" si="14"/>
        <v>0</v>
      </c>
      <c r="Q63" s="91">
        <f t="shared" si="14"/>
        <v>0</v>
      </c>
      <c r="R63" s="91">
        <f t="shared" si="13"/>
        <v>0</v>
      </c>
      <c r="T63" s="91">
        <f t="shared" si="8"/>
        <v>0</v>
      </c>
      <c r="U63" s="91">
        <f t="shared" si="9"/>
        <v>0</v>
      </c>
      <c r="V63" s="91">
        <f t="shared" si="10"/>
        <v>0</v>
      </c>
      <c r="W63" s="91">
        <f t="shared" si="10"/>
        <v>0</v>
      </c>
      <c r="X63" s="92">
        <f t="shared" si="11"/>
        <v>0</v>
      </c>
    </row>
    <row r="64" spans="1:24" x14ac:dyDescent="0.25">
      <c r="A64" s="97"/>
      <c r="B64" s="93"/>
      <c r="C64" s="93"/>
      <c r="D64" s="94"/>
      <c r="E64" s="94"/>
      <c r="F64" s="88">
        <f t="shared" si="12"/>
        <v>0</v>
      </c>
      <c r="G64" s="94"/>
      <c r="H64" s="88">
        <f>SUM(F64:G64)</f>
        <v>0</v>
      </c>
      <c r="I64" s="89">
        <f>SUM(H64/'B - Operating Budget'!$D$40)</f>
        <v>0</v>
      </c>
      <c r="J64" s="95"/>
      <c r="K64" s="96"/>
      <c r="N64" s="90">
        <f t="shared" si="4"/>
        <v>0</v>
      </c>
      <c r="O64" s="91">
        <f t="shared" si="5"/>
        <v>0</v>
      </c>
      <c r="P64" s="91">
        <f t="shared" si="14"/>
        <v>0</v>
      </c>
      <c r="Q64" s="91">
        <f t="shared" si="14"/>
        <v>0</v>
      </c>
      <c r="R64" s="91">
        <f t="shared" si="13"/>
        <v>0</v>
      </c>
      <c r="T64" s="91">
        <f t="shared" si="8"/>
        <v>0</v>
      </c>
      <c r="U64" s="91">
        <f t="shared" si="9"/>
        <v>0</v>
      </c>
      <c r="V64" s="91">
        <f t="shared" si="10"/>
        <v>0</v>
      </c>
      <c r="W64" s="91">
        <f t="shared" si="10"/>
        <v>0</v>
      </c>
      <c r="X64" s="92">
        <f t="shared" si="11"/>
        <v>0</v>
      </c>
    </row>
    <row r="65" spans="1:24" x14ac:dyDescent="0.25">
      <c r="A65" s="97"/>
      <c r="B65" s="93"/>
      <c r="C65" s="93"/>
      <c r="D65" s="94"/>
      <c r="E65" s="94"/>
      <c r="F65" s="88">
        <f t="shared" si="12"/>
        <v>0</v>
      </c>
      <c r="G65" s="94"/>
      <c r="H65" s="88">
        <f>SUM(F65:G65)</f>
        <v>0</v>
      </c>
      <c r="I65" s="89">
        <f>SUM(H65/'B - Operating Budget'!$D$40)</f>
        <v>0</v>
      </c>
      <c r="J65" s="95"/>
      <c r="K65" s="96"/>
      <c r="N65" s="90">
        <f t="shared" si="4"/>
        <v>0</v>
      </c>
      <c r="O65" s="91">
        <f t="shared" si="5"/>
        <v>0</v>
      </c>
      <c r="P65" s="91">
        <f t="shared" si="14"/>
        <v>0</v>
      </c>
      <c r="Q65" s="91">
        <f t="shared" si="14"/>
        <v>0</v>
      </c>
      <c r="R65" s="91">
        <f t="shared" si="13"/>
        <v>0</v>
      </c>
      <c r="T65" s="91">
        <f t="shared" si="8"/>
        <v>0</v>
      </c>
      <c r="U65" s="91">
        <f t="shared" si="9"/>
        <v>0</v>
      </c>
      <c r="V65" s="91">
        <f t="shared" si="10"/>
        <v>0</v>
      </c>
      <c r="W65" s="91">
        <f t="shared" si="10"/>
        <v>0</v>
      </c>
      <c r="X65" s="92">
        <f t="shared" si="11"/>
        <v>0</v>
      </c>
    </row>
    <row r="66" spans="1:24" x14ac:dyDescent="0.25">
      <c r="A66" s="97"/>
      <c r="B66" s="93"/>
      <c r="C66" s="93"/>
      <c r="D66" s="94"/>
      <c r="E66" s="94"/>
      <c r="F66" s="88">
        <f t="shared" si="12"/>
        <v>0</v>
      </c>
      <c r="G66" s="94"/>
      <c r="H66" s="88">
        <f>SUM(F66:G66)</f>
        <v>0</v>
      </c>
      <c r="I66" s="89">
        <f>SUM(H66/'B - Operating Budget'!$D$40)</f>
        <v>0</v>
      </c>
      <c r="J66" s="95"/>
      <c r="K66" s="96"/>
      <c r="N66" s="90">
        <f t="shared" si="4"/>
        <v>0</v>
      </c>
      <c r="O66" s="91">
        <f t="shared" si="5"/>
        <v>0</v>
      </c>
      <c r="P66" s="91">
        <f t="shared" si="14"/>
        <v>0</v>
      </c>
      <c r="Q66" s="91">
        <f t="shared" si="14"/>
        <v>0</v>
      </c>
      <c r="R66" s="91">
        <f t="shared" si="13"/>
        <v>0</v>
      </c>
      <c r="T66" s="91">
        <f t="shared" si="8"/>
        <v>0</v>
      </c>
      <c r="U66" s="91">
        <f t="shared" si="9"/>
        <v>0</v>
      </c>
      <c r="V66" s="91">
        <f t="shared" si="10"/>
        <v>0</v>
      </c>
      <c r="W66" s="91">
        <f t="shared" si="10"/>
        <v>0</v>
      </c>
      <c r="X66" s="92">
        <f t="shared" si="11"/>
        <v>0</v>
      </c>
    </row>
    <row r="67" spans="1:24" x14ac:dyDescent="0.25">
      <c r="A67" s="97"/>
      <c r="B67" s="93"/>
      <c r="C67" s="93"/>
      <c r="D67" s="94"/>
      <c r="E67" s="94"/>
      <c r="F67" s="88">
        <f t="shared" si="12"/>
        <v>0</v>
      </c>
      <c r="G67" s="94"/>
      <c r="H67" s="88">
        <f t="shared" si="3"/>
        <v>0</v>
      </c>
      <c r="I67" s="89">
        <f>SUM(H67/'B - Operating Budget'!$D$40)</f>
        <v>0</v>
      </c>
      <c r="J67" s="95"/>
      <c r="K67" s="96"/>
      <c r="N67" s="90">
        <f t="shared" si="4"/>
        <v>0</v>
      </c>
      <c r="O67" s="91">
        <f t="shared" si="5"/>
        <v>0</v>
      </c>
      <c r="P67" s="91">
        <f t="shared" si="14"/>
        <v>0</v>
      </c>
      <c r="Q67" s="91">
        <f t="shared" si="14"/>
        <v>0</v>
      </c>
      <c r="R67" s="91">
        <f t="shared" si="13"/>
        <v>0</v>
      </c>
      <c r="T67" s="91">
        <f t="shared" si="8"/>
        <v>0</v>
      </c>
      <c r="U67" s="91">
        <f t="shared" si="9"/>
        <v>0</v>
      </c>
      <c r="V67" s="91">
        <f t="shared" si="10"/>
        <v>0</v>
      </c>
      <c r="W67" s="91">
        <f t="shared" si="10"/>
        <v>0</v>
      </c>
      <c r="X67" s="92">
        <f t="shared" si="11"/>
        <v>0</v>
      </c>
    </row>
    <row r="68" spans="1:24" x14ac:dyDescent="0.25">
      <c r="A68" s="97"/>
      <c r="B68" s="93"/>
      <c r="C68" s="93"/>
      <c r="D68" s="94"/>
      <c r="E68" s="94"/>
      <c r="F68" s="88">
        <f t="shared" si="12"/>
        <v>0</v>
      </c>
      <c r="G68" s="94"/>
      <c r="H68" s="88">
        <f t="shared" si="3"/>
        <v>0</v>
      </c>
      <c r="I68" s="89">
        <f>SUM(H68/'B - Operating Budget'!$D$40)</f>
        <v>0</v>
      </c>
      <c r="J68" s="95"/>
      <c r="K68" s="96"/>
      <c r="N68" s="90">
        <f t="shared" si="4"/>
        <v>0</v>
      </c>
      <c r="O68" s="91">
        <f t="shared" si="5"/>
        <v>0</v>
      </c>
      <c r="P68" s="91">
        <f t="shared" si="14"/>
        <v>0</v>
      </c>
      <c r="Q68" s="91">
        <f t="shared" si="14"/>
        <v>0</v>
      </c>
      <c r="R68" s="91">
        <f t="shared" si="13"/>
        <v>0</v>
      </c>
      <c r="T68" s="91">
        <f t="shared" si="8"/>
        <v>0</v>
      </c>
      <c r="U68" s="91">
        <f t="shared" si="9"/>
        <v>0</v>
      </c>
      <c r="V68" s="91">
        <f t="shared" si="10"/>
        <v>0</v>
      </c>
      <c r="W68" s="91">
        <f t="shared" si="10"/>
        <v>0</v>
      </c>
      <c r="X68" s="92">
        <f t="shared" si="11"/>
        <v>0</v>
      </c>
    </row>
    <row r="69" spans="1:24" x14ac:dyDescent="0.25">
      <c r="A69" s="97"/>
      <c r="B69" s="93"/>
      <c r="C69" s="93"/>
      <c r="D69" s="94"/>
      <c r="E69" s="94"/>
      <c r="F69" s="88">
        <f t="shared" si="12"/>
        <v>0</v>
      </c>
      <c r="G69" s="94"/>
      <c r="H69" s="88">
        <f t="shared" si="3"/>
        <v>0</v>
      </c>
      <c r="I69" s="89">
        <f>SUM(H69/'B - Operating Budget'!$D$40)</f>
        <v>0</v>
      </c>
      <c r="J69" s="95"/>
      <c r="K69" s="96"/>
      <c r="N69" s="90">
        <f t="shared" si="4"/>
        <v>0</v>
      </c>
      <c r="O69" s="91">
        <f t="shared" si="5"/>
        <v>0</v>
      </c>
      <c r="P69" s="91">
        <f t="shared" si="14"/>
        <v>0</v>
      </c>
      <c r="Q69" s="91">
        <f t="shared" si="14"/>
        <v>0</v>
      </c>
      <c r="R69" s="91">
        <f t="shared" si="13"/>
        <v>0</v>
      </c>
      <c r="T69" s="91">
        <f t="shared" si="8"/>
        <v>0</v>
      </c>
      <c r="U69" s="91">
        <f t="shared" si="9"/>
        <v>0</v>
      </c>
      <c r="V69" s="91">
        <f t="shared" si="10"/>
        <v>0</v>
      </c>
      <c r="W69" s="91">
        <f t="shared" si="10"/>
        <v>0</v>
      </c>
      <c r="X69" s="92">
        <f t="shared" si="11"/>
        <v>0</v>
      </c>
    </row>
    <row r="70" spans="1:24" x14ac:dyDescent="0.25">
      <c r="A70" s="97"/>
      <c r="B70" s="93"/>
      <c r="C70" s="93"/>
      <c r="D70" s="94"/>
      <c r="E70" s="94"/>
      <c r="F70" s="88">
        <f t="shared" si="12"/>
        <v>0</v>
      </c>
      <c r="G70" s="94"/>
      <c r="H70" s="88">
        <f t="shared" si="3"/>
        <v>0</v>
      </c>
      <c r="I70" s="89">
        <f>SUM(H70/'B - Operating Budget'!$D$40)</f>
        <v>0</v>
      </c>
      <c r="J70" s="95"/>
      <c r="K70" s="96"/>
      <c r="N70" s="90">
        <f t="shared" si="4"/>
        <v>0</v>
      </c>
      <c r="O70" s="91">
        <f t="shared" si="5"/>
        <v>0</v>
      </c>
      <c r="P70" s="91">
        <f t="shared" si="14"/>
        <v>0</v>
      </c>
      <c r="Q70" s="91">
        <f t="shared" si="14"/>
        <v>0</v>
      </c>
      <c r="R70" s="91">
        <f t="shared" si="13"/>
        <v>0</v>
      </c>
      <c r="T70" s="91">
        <f t="shared" si="8"/>
        <v>0</v>
      </c>
      <c r="U70" s="91">
        <f t="shared" si="9"/>
        <v>0</v>
      </c>
      <c r="V70" s="91">
        <f t="shared" si="10"/>
        <v>0</v>
      </c>
      <c r="W70" s="91">
        <f t="shared" si="10"/>
        <v>0</v>
      </c>
      <c r="X70" s="92">
        <f t="shared" si="11"/>
        <v>0</v>
      </c>
    </row>
    <row r="71" spans="1:24" x14ac:dyDescent="0.25">
      <c r="A71" s="97"/>
      <c r="B71" s="93"/>
      <c r="C71" s="93"/>
      <c r="D71" s="94"/>
      <c r="E71" s="94"/>
      <c r="F71" s="88">
        <f t="shared" si="12"/>
        <v>0</v>
      </c>
      <c r="G71" s="94"/>
      <c r="H71" s="88">
        <f t="shared" ref="H71:H90" si="23">SUM(F71:G71)</f>
        <v>0</v>
      </c>
      <c r="I71" s="89">
        <f>SUM(H71/'B - Operating Budget'!$D$40)</f>
        <v>0</v>
      </c>
      <c r="J71" s="95"/>
      <c r="K71" s="96"/>
      <c r="N71" s="90">
        <f t="shared" si="4"/>
        <v>0</v>
      </c>
      <c r="O71" s="91">
        <f t="shared" si="5"/>
        <v>0</v>
      </c>
      <c r="P71" s="91">
        <f t="shared" si="14"/>
        <v>0</v>
      </c>
      <c r="Q71" s="91">
        <f t="shared" si="14"/>
        <v>0</v>
      </c>
      <c r="R71" s="91">
        <f t="shared" si="13"/>
        <v>0</v>
      </c>
      <c r="T71" s="91">
        <f t="shared" si="8"/>
        <v>0</v>
      </c>
      <c r="U71" s="91">
        <f t="shared" si="9"/>
        <v>0</v>
      </c>
      <c r="V71" s="91">
        <f t="shared" ref="V71:W103" si="24">IF($K71="no",SUM($G71*0.5),0)</f>
        <v>0</v>
      </c>
      <c r="W71" s="91">
        <f t="shared" si="24"/>
        <v>0</v>
      </c>
      <c r="X71" s="92">
        <f t="shared" si="11"/>
        <v>0</v>
      </c>
    </row>
    <row r="72" spans="1:24" x14ac:dyDescent="0.25">
      <c r="A72" s="97"/>
      <c r="B72" s="93"/>
      <c r="C72" s="93"/>
      <c r="D72" s="94"/>
      <c r="E72" s="94"/>
      <c r="F72" s="88">
        <f t="shared" si="12"/>
        <v>0</v>
      </c>
      <c r="G72" s="94"/>
      <c r="H72" s="88">
        <f t="shared" ref="H72:H86" si="25">SUM(F72:G72)</f>
        <v>0</v>
      </c>
      <c r="I72" s="89">
        <f>SUM(H72/'B - Operating Budget'!$D$40)</f>
        <v>0</v>
      </c>
      <c r="J72" s="95"/>
      <c r="K72" s="96"/>
      <c r="N72" s="90">
        <f t="shared" si="4"/>
        <v>0</v>
      </c>
      <c r="O72" s="91">
        <f t="shared" si="5"/>
        <v>0</v>
      </c>
      <c r="P72" s="91">
        <f t="shared" si="14"/>
        <v>0</v>
      </c>
      <c r="Q72" s="91">
        <f t="shared" si="14"/>
        <v>0</v>
      </c>
      <c r="R72" s="91">
        <f t="shared" ref="R72:R86" si="26">SUM(N72:Q72)</f>
        <v>0</v>
      </c>
      <c r="T72" s="91">
        <f t="shared" si="8"/>
        <v>0</v>
      </c>
      <c r="U72" s="91">
        <f t="shared" si="9"/>
        <v>0</v>
      </c>
      <c r="V72" s="91">
        <f t="shared" si="10"/>
        <v>0</v>
      </c>
      <c r="W72" s="91">
        <f t="shared" si="10"/>
        <v>0</v>
      </c>
      <c r="X72" s="92">
        <f t="shared" ref="X72:X86" si="27">SUM(T72:W72)</f>
        <v>0</v>
      </c>
    </row>
    <row r="73" spans="1:24" x14ac:dyDescent="0.25">
      <c r="A73" s="97"/>
      <c r="B73" s="93"/>
      <c r="C73" s="93"/>
      <c r="D73" s="94"/>
      <c r="E73" s="94"/>
      <c r="F73" s="88">
        <f t="shared" si="12"/>
        <v>0</v>
      </c>
      <c r="G73" s="94"/>
      <c r="H73" s="88">
        <f t="shared" si="25"/>
        <v>0</v>
      </c>
      <c r="I73" s="89">
        <f>SUM(H73/'B - Operating Budget'!$D$40)</f>
        <v>0</v>
      </c>
      <c r="J73" s="95"/>
      <c r="K73" s="96"/>
      <c r="N73" s="90">
        <f t="shared" si="4"/>
        <v>0</v>
      </c>
      <c r="O73" s="91">
        <f t="shared" si="5"/>
        <v>0</v>
      </c>
      <c r="P73" s="91">
        <f t="shared" si="14"/>
        <v>0</v>
      </c>
      <c r="Q73" s="91">
        <f t="shared" si="14"/>
        <v>0</v>
      </c>
      <c r="R73" s="91">
        <f t="shared" si="26"/>
        <v>0</v>
      </c>
      <c r="T73" s="91">
        <f t="shared" si="8"/>
        <v>0</v>
      </c>
      <c r="U73" s="91">
        <f t="shared" si="9"/>
        <v>0</v>
      </c>
      <c r="V73" s="91">
        <f t="shared" ref="V73:W86" si="28">IF($K73="no",SUM($G73*0.5),0)</f>
        <v>0</v>
      </c>
      <c r="W73" s="91">
        <f t="shared" si="28"/>
        <v>0</v>
      </c>
      <c r="X73" s="92">
        <f t="shared" si="27"/>
        <v>0</v>
      </c>
    </row>
    <row r="74" spans="1:24" x14ac:dyDescent="0.25">
      <c r="A74" s="97"/>
      <c r="B74" s="93"/>
      <c r="C74" s="93"/>
      <c r="D74" s="94"/>
      <c r="E74" s="94"/>
      <c r="F74" s="88">
        <f t="shared" si="12"/>
        <v>0</v>
      </c>
      <c r="G74" s="94"/>
      <c r="H74" s="88">
        <f t="shared" si="25"/>
        <v>0</v>
      </c>
      <c r="I74" s="89">
        <f>SUM(H74/'B - Operating Budget'!$D$40)</f>
        <v>0</v>
      </c>
      <c r="J74" s="95"/>
      <c r="K74" s="96"/>
      <c r="N74" s="90">
        <f t="shared" si="4"/>
        <v>0</v>
      </c>
      <c r="O74" s="91">
        <f t="shared" si="5"/>
        <v>0</v>
      </c>
      <c r="P74" s="91">
        <f t="shared" si="14"/>
        <v>0</v>
      </c>
      <c r="Q74" s="91">
        <f t="shared" si="14"/>
        <v>0</v>
      </c>
      <c r="R74" s="91">
        <f t="shared" si="26"/>
        <v>0</v>
      </c>
      <c r="T74" s="91">
        <f t="shared" si="8"/>
        <v>0</v>
      </c>
      <c r="U74" s="91">
        <f t="shared" si="9"/>
        <v>0</v>
      </c>
      <c r="V74" s="91">
        <f t="shared" si="28"/>
        <v>0</v>
      </c>
      <c r="W74" s="91">
        <f t="shared" si="28"/>
        <v>0</v>
      </c>
      <c r="X74" s="92">
        <f t="shared" si="27"/>
        <v>0</v>
      </c>
    </row>
    <row r="75" spans="1:24" x14ac:dyDescent="0.25">
      <c r="A75" s="97"/>
      <c r="B75" s="93"/>
      <c r="C75" s="93"/>
      <c r="D75" s="94"/>
      <c r="E75" s="94"/>
      <c r="F75" s="88">
        <f t="shared" si="12"/>
        <v>0</v>
      </c>
      <c r="G75" s="94"/>
      <c r="H75" s="88">
        <f t="shared" si="25"/>
        <v>0</v>
      </c>
      <c r="I75" s="89">
        <f>SUM(H75/'B - Operating Budget'!$D$40)</f>
        <v>0</v>
      </c>
      <c r="J75" s="95"/>
      <c r="K75" s="96"/>
      <c r="N75" s="90">
        <f t="shared" si="4"/>
        <v>0</v>
      </c>
      <c r="O75" s="91">
        <f t="shared" si="5"/>
        <v>0</v>
      </c>
      <c r="P75" s="91">
        <f t="shared" si="14"/>
        <v>0</v>
      </c>
      <c r="Q75" s="91">
        <f t="shared" si="14"/>
        <v>0</v>
      </c>
      <c r="R75" s="91">
        <f t="shared" si="26"/>
        <v>0</v>
      </c>
      <c r="T75" s="91">
        <f t="shared" si="8"/>
        <v>0</v>
      </c>
      <c r="U75" s="91">
        <f t="shared" si="9"/>
        <v>0</v>
      </c>
      <c r="V75" s="91">
        <f t="shared" si="28"/>
        <v>0</v>
      </c>
      <c r="W75" s="91">
        <f t="shared" si="28"/>
        <v>0</v>
      </c>
      <c r="X75" s="92">
        <f t="shared" si="27"/>
        <v>0</v>
      </c>
    </row>
    <row r="76" spans="1:24" x14ac:dyDescent="0.25">
      <c r="A76" s="97"/>
      <c r="B76" s="93"/>
      <c r="C76" s="93"/>
      <c r="D76" s="94"/>
      <c r="E76" s="94"/>
      <c r="F76" s="88">
        <f t="shared" si="12"/>
        <v>0</v>
      </c>
      <c r="G76" s="94"/>
      <c r="H76" s="88">
        <f t="shared" si="25"/>
        <v>0</v>
      </c>
      <c r="I76" s="89">
        <f>SUM(H76/'B - Operating Budget'!$D$40)</f>
        <v>0</v>
      </c>
      <c r="J76" s="95"/>
      <c r="K76" s="96"/>
      <c r="N76" s="90">
        <f t="shared" si="4"/>
        <v>0</v>
      </c>
      <c r="O76" s="91">
        <f t="shared" si="5"/>
        <v>0</v>
      </c>
      <c r="P76" s="91">
        <f t="shared" si="14"/>
        <v>0</v>
      </c>
      <c r="Q76" s="91">
        <f t="shared" si="14"/>
        <v>0</v>
      </c>
      <c r="R76" s="91">
        <f t="shared" si="26"/>
        <v>0</v>
      </c>
      <c r="T76" s="91">
        <f t="shared" si="8"/>
        <v>0</v>
      </c>
      <c r="U76" s="91">
        <f t="shared" si="9"/>
        <v>0</v>
      </c>
      <c r="V76" s="91">
        <f t="shared" si="28"/>
        <v>0</v>
      </c>
      <c r="W76" s="91">
        <f t="shared" si="28"/>
        <v>0</v>
      </c>
      <c r="X76" s="92">
        <f t="shared" si="27"/>
        <v>0</v>
      </c>
    </row>
    <row r="77" spans="1:24" x14ac:dyDescent="0.25">
      <c r="A77" s="97"/>
      <c r="B77" s="93"/>
      <c r="C77" s="93"/>
      <c r="D77" s="94"/>
      <c r="E77" s="94"/>
      <c r="F77" s="88">
        <f t="shared" si="12"/>
        <v>0</v>
      </c>
      <c r="G77" s="94"/>
      <c r="H77" s="88">
        <f t="shared" si="25"/>
        <v>0</v>
      </c>
      <c r="I77" s="89">
        <f>SUM(H77/'B - Operating Budget'!$D$40)</f>
        <v>0</v>
      </c>
      <c r="J77" s="95"/>
      <c r="K77" s="96"/>
      <c r="N77" s="90">
        <f t="shared" si="4"/>
        <v>0</v>
      </c>
      <c r="O77" s="91">
        <f t="shared" si="5"/>
        <v>0</v>
      </c>
      <c r="P77" s="91">
        <f t="shared" si="14"/>
        <v>0</v>
      </c>
      <c r="Q77" s="91">
        <f t="shared" si="14"/>
        <v>0</v>
      </c>
      <c r="R77" s="91">
        <f t="shared" si="26"/>
        <v>0</v>
      </c>
      <c r="T77" s="91">
        <f t="shared" si="8"/>
        <v>0</v>
      </c>
      <c r="U77" s="91">
        <f t="shared" si="9"/>
        <v>0</v>
      </c>
      <c r="V77" s="91">
        <f t="shared" si="28"/>
        <v>0</v>
      </c>
      <c r="W77" s="91">
        <f t="shared" si="28"/>
        <v>0</v>
      </c>
      <c r="X77" s="92">
        <f t="shared" si="27"/>
        <v>0</v>
      </c>
    </row>
    <row r="78" spans="1:24" x14ac:dyDescent="0.25">
      <c r="A78" s="97"/>
      <c r="B78" s="93"/>
      <c r="C78" s="93"/>
      <c r="D78" s="94"/>
      <c r="E78" s="94"/>
      <c r="F78" s="88">
        <f t="shared" si="12"/>
        <v>0</v>
      </c>
      <c r="G78" s="94"/>
      <c r="H78" s="88">
        <f t="shared" si="25"/>
        <v>0</v>
      </c>
      <c r="I78" s="89">
        <f>SUM(H78/'B - Operating Budget'!$D$40)</f>
        <v>0</v>
      </c>
      <c r="J78" s="95"/>
      <c r="K78" s="96"/>
      <c r="N78" s="90">
        <f t="shared" si="4"/>
        <v>0</v>
      </c>
      <c r="O78" s="91">
        <f t="shared" si="5"/>
        <v>0</v>
      </c>
      <c r="P78" s="91">
        <f t="shared" si="14"/>
        <v>0</v>
      </c>
      <c r="Q78" s="91">
        <f t="shared" si="14"/>
        <v>0</v>
      </c>
      <c r="R78" s="91">
        <f t="shared" si="26"/>
        <v>0</v>
      </c>
      <c r="T78" s="91">
        <f t="shared" si="8"/>
        <v>0</v>
      </c>
      <c r="U78" s="91">
        <f t="shared" si="9"/>
        <v>0</v>
      </c>
      <c r="V78" s="91">
        <f t="shared" si="28"/>
        <v>0</v>
      </c>
      <c r="W78" s="91">
        <f t="shared" si="28"/>
        <v>0</v>
      </c>
      <c r="X78" s="92">
        <f t="shared" si="27"/>
        <v>0</v>
      </c>
    </row>
    <row r="79" spans="1:24" x14ac:dyDescent="0.25">
      <c r="A79" s="97"/>
      <c r="B79" s="93"/>
      <c r="C79" s="93"/>
      <c r="D79" s="94"/>
      <c r="E79" s="94"/>
      <c r="F79" s="88">
        <f t="shared" si="12"/>
        <v>0</v>
      </c>
      <c r="G79" s="94"/>
      <c r="H79" s="88">
        <f t="shared" si="25"/>
        <v>0</v>
      </c>
      <c r="I79" s="89">
        <f>SUM(H79/'B - Operating Budget'!$D$40)</f>
        <v>0</v>
      </c>
      <c r="J79" s="95"/>
      <c r="K79" s="96"/>
      <c r="N79" s="90">
        <f t="shared" si="4"/>
        <v>0</v>
      </c>
      <c r="O79" s="91">
        <f t="shared" si="5"/>
        <v>0</v>
      </c>
      <c r="P79" s="91">
        <f t="shared" si="14"/>
        <v>0</v>
      </c>
      <c r="Q79" s="91">
        <f t="shared" si="14"/>
        <v>0</v>
      </c>
      <c r="R79" s="91">
        <f t="shared" si="26"/>
        <v>0</v>
      </c>
      <c r="T79" s="91">
        <f t="shared" si="8"/>
        <v>0</v>
      </c>
      <c r="U79" s="91">
        <f t="shared" si="9"/>
        <v>0</v>
      </c>
      <c r="V79" s="91">
        <f t="shared" si="28"/>
        <v>0</v>
      </c>
      <c r="W79" s="91">
        <f t="shared" si="28"/>
        <v>0</v>
      </c>
      <c r="X79" s="92">
        <f t="shared" si="27"/>
        <v>0</v>
      </c>
    </row>
    <row r="80" spans="1:24" x14ac:dyDescent="0.25">
      <c r="A80" s="97"/>
      <c r="B80" s="93"/>
      <c r="C80" s="93"/>
      <c r="D80" s="94"/>
      <c r="E80" s="94"/>
      <c r="F80" s="88">
        <f t="shared" si="12"/>
        <v>0</v>
      </c>
      <c r="G80" s="94"/>
      <c r="H80" s="88">
        <f t="shared" si="25"/>
        <v>0</v>
      </c>
      <c r="I80" s="89">
        <f>SUM(H80/'B - Operating Budget'!$D$40)</f>
        <v>0</v>
      </c>
      <c r="J80" s="95"/>
      <c r="K80" s="96"/>
      <c r="N80" s="90">
        <f t="shared" si="4"/>
        <v>0</v>
      </c>
      <c r="O80" s="91">
        <f t="shared" si="5"/>
        <v>0</v>
      </c>
      <c r="P80" s="91">
        <f t="shared" si="14"/>
        <v>0</v>
      </c>
      <c r="Q80" s="91">
        <f t="shared" si="14"/>
        <v>0</v>
      </c>
      <c r="R80" s="91">
        <f t="shared" si="26"/>
        <v>0</v>
      </c>
      <c r="T80" s="91">
        <f t="shared" si="8"/>
        <v>0</v>
      </c>
      <c r="U80" s="91">
        <f t="shared" si="9"/>
        <v>0</v>
      </c>
      <c r="V80" s="91">
        <f t="shared" si="28"/>
        <v>0</v>
      </c>
      <c r="W80" s="91">
        <f t="shared" si="28"/>
        <v>0</v>
      </c>
      <c r="X80" s="92">
        <f t="shared" si="27"/>
        <v>0</v>
      </c>
    </row>
    <row r="81" spans="1:24" x14ac:dyDescent="0.25">
      <c r="A81" s="97"/>
      <c r="B81" s="93"/>
      <c r="C81" s="93"/>
      <c r="D81" s="94"/>
      <c r="E81" s="94"/>
      <c r="F81" s="88">
        <f t="shared" si="12"/>
        <v>0</v>
      </c>
      <c r="G81" s="94"/>
      <c r="H81" s="88">
        <f t="shared" si="25"/>
        <v>0</v>
      </c>
      <c r="I81" s="89">
        <f>SUM(H81/'B - Operating Budget'!$D$40)</f>
        <v>0</v>
      </c>
      <c r="J81" s="95"/>
      <c r="K81" s="96"/>
      <c r="N81" s="90">
        <f t="shared" si="4"/>
        <v>0</v>
      </c>
      <c r="O81" s="91">
        <f t="shared" si="5"/>
        <v>0</v>
      </c>
      <c r="P81" s="91">
        <f t="shared" si="14"/>
        <v>0</v>
      </c>
      <c r="Q81" s="91">
        <f t="shared" si="14"/>
        <v>0</v>
      </c>
      <c r="R81" s="91">
        <f t="shared" si="26"/>
        <v>0</v>
      </c>
      <c r="T81" s="91">
        <f t="shared" si="8"/>
        <v>0</v>
      </c>
      <c r="U81" s="91">
        <f t="shared" si="9"/>
        <v>0</v>
      </c>
      <c r="V81" s="91">
        <f t="shared" si="28"/>
        <v>0</v>
      </c>
      <c r="W81" s="91">
        <f t="shared" si="28"/>
        <v>0</v>
      </c>
      <c r="X81" s="92">
        <f t="shared" si="27"/>
        <v>0</v>
      </c>
    </row>
    <row r="82" spans="1:24" x14ac:dyDescent="0.25">
      <c r="A82" s="97"/>
      <c r="B82" s="93"/>
      <c r="C82" s="93"/>
      <c r="D82" s="94"/>
      <c r="E82" s="94"/>
      <c r="F82" s="88">
        <f t="shared" si="12"/>
        <v>0</v>
      </c>
      <c r="G82" s="94"/>
      <c r="H82" s="88">
        <f t="shared" si="25"/>
        <v>0</v>
      </c>
      <c r="I82" s="89">
        <f>SUM(H82/'B - Operating Budget'!$D$40)</f>
        <v>0</v>
      </c>
      <c r="J82" s="95"/>
      <c r="K82" s="96"/>
      <c r="N82" s="90">
        <f t="shared" si="4"/>
        <v>0</v>
      </c>
      <c r="O82" s="91">
        <f t="shared" si="5"/>
        <v>0</v>
      </c>
      <c r="P82" s="91">
        <f t="shared" si="14"/>
        <v>0</v>
      </c>
      <c r="Q82" s="91">
        <f t="shared" si="14"/>
        <v>0</v>
      </c>
      <c r="R82" s="91">
        <f t="shared" si="26"/>
        <v>0</v>
      </c>
      <c r="T82" s="91">
        <f t="shared" si="8"/>
        <v>0</v>
      </c>
      <c r="U82" s="91">
        <f t="shared" si="9"/>
        <v>0</v>
      </c>
      <c r="V82" s="91">
        <f t="shared" si="28"/>
        <v>0</v>
      </c>
      <c r="W82" s="91">
        <f t="shared" si="28"/>
        <v>0</v>
      </c>
      <c r="X82" s="92">
        <f t="shared" si="27"/>
        <v>0</v>
      </c>
    </row>
    <row r="83" spans="1:24" x14ac:dyDescent="0.25">
      <c r="A83" s="97"/>
      <c r="B83" s="93"/>
      <c r="C83" s="93"/>
      <c r="D83" s="94"/>
      <c r="E83" s="94"/>
      <c r="F83" s="88">
        <f t="shared" si="12"/>
        <v>0</v>
      </c>
      <c r="G83" s="94"/>
      <c r="H83" s="88">
        <f t="shared" si="25"/>
        <v>0</v>
      </c>
      <c r="I83" s="89">
        <f>SUM(H83/'B - Operating Budget'!$D$40)</f>
        <v>0</v>
      </c>
      <c r="J83" s="95"/>
      <c r="K83" s="96"/>
      <c r="N83" s="90">
        <f t="shared" si="4"/>
        <v>0</v>
      </c>
      <c r="O83" s="91">
        <f t="shared" si="5"/>
        <v>0</v>
      </c>
      <c r="P83" s="91">
        <f t="shared" si="14"/>
        <v>0</v>
      </c>
      <c r="Q83" s="91">
        <f t="shared" si="14"/>
        <v>0</v>
      </c>
      <c r="R83" s="91">
        <f t="shared" si="26"/>
        <v>0</v>
      </c>
      <c r="T83" s="91">
        <f t="shared" si="8"/>
        <v>0</v>
      </c>
      <c r="U83" s="91">
        <f t="shared" si="9"/>
        <v>0</v>
      </c>
      <c r="V83" s="91">
        <f t="shared" si="28"/>
        <v>0</v>
      </c>
      <c r="W83" s="91">
        <f t="shared" si="28"/>
        <v>0</v>
      </c>
      <c r="X83" s="92">
        <f t="shared" si="27"/>
        <v>0</v>
      </c>
    </row>
    <row r="84" spans="1:24" x14ac:dyDescent="0.25">
      <c r="A84" s="97"/>
      <c r="B84" s="93"/>
      <c r="C84" s="93"/>
      <c r="D84" s="94"/>
      <c r="E84" s="94"/>
      <c r="F84" s="88">
        <f t="shared" si="12"/>
        <v>0</v>
      </c>
      <c r="G84" s="94"/>
      <c r="H84" s="88">
        <f t="shared" si="25"/>
        <v>0</v>
      </c>
      <c r="I84" s="89">
        <f>SUM(H84/'B - Operating Budget'!$D$40)</f>
        <v>0</v>
      </c>
      <c r="J84" s="95"/>
      <c r="K84" s="96"/>
      <c r="N84" s="90">
        <f t="shared" si="4"/>
        <v>0</v>
      </c>
      <c r="O84" s="91">
        <f t="shared" si="5"/>
        <v>0</v>
      </c>
      <c r="P84" s="91">
        <f t="shared" si="14"/>
        <v>0</v>
      </c>
      <c r="Q84" s="91">
        <f t="shared" si="14"/>
        <v>0</v>
      </c>
      <c r="R84" s="91">
        <f t="shared" si="26"/>
        <v>0</v>
      </c>
      <c r="T84" s="91">
        <f t="shared" si="8"/>
        <v>0</v>
      </c>
      <c r="U84" s="91">
        <f t="shared" si="9"/>
        <v>0</v>
      </c>
      <c r="V84" s="91">
        <f t="shared" si="28"/>
        <v>0</v>
      </c>
      <c r="W84" s="91">
        <f t="shared" si="28"/>
        <v>0</v>
      </c>
      <c r="X84" s="92">
        <f t="shared" si="27"/>
        <v>0</v>
      </c>
    </row>
    <row r="85" spans="1:24" x14ac:dyDescent="0.25">
      <c r="A85" s="97"/>
      <c r="B85" s="93"/>
      <c r="C85" s="93"/>
      <c r="D85" s="94"/>
      <c r="E85" s="94"/>
      <c r="F85" s="88">
        <f t="shared" si="12"/>
        <v>0</v>
      </c>
      <c r="G85" s="94"/>
      <c r="H85" s="88">
        <f t="shared" si="25"/>
        <v>0</v>
      </c>
      <c r="I85" s="89">
        <f>SUM(H85/'B - Operating Budget'!$D$40)</f>
        <v>0</v>
      </c>
      <c r="J85" s="95"/>
      <c r="K85" s="96"/>
      <c r="N85" s="90">
        <f t="shared" si="4"/>
        <v>0</v>
      </c>
      <c r="O85" s="91">
        <f t="shared" si="5"/>
        <v>0</v>
      </c>
      <c r="P85" s="91">
        <f t="shared" si="14"/>
        <v>0</v>
      </c>
      <c r="Q85" s="91">
        <f t="shared" si="14"/>
        <v>0</v>
      </c>
      <c r="R85" s="91">
        <f t="shared" si="26"/>
        <v>0</v>
      </c>
      <c r="T85" s="91">
        <f t="shared" si="8"/>
        <v>0</v>
      </c>
      <c r="U85" s="91">
        <f t="shared" si="9"/>
        <v>0</v>
      </c>
      <c r="V85" s="91">
        <f t="shared" si="28"/>
        <v>0</v>
      </c>
      <c r="W85" s="91">
        <f t="shared" si="28"/>
        <v>0</v>
      </c>
      <c r="X85" s="92">
        <f t="shared" si="27"/>
        <v>0</v>
      </c>
    </row>
    <row r="86" spans="1:24" x14ac:dyDescent="0.25">
      <c r="A86" s="97"/>
      <c r="B86" s="93"/>
      <c r="C86" s="93"/>
      <c r="D86" s="94"/>
      <c r="E86" s="94"/>
      <c r="F86" s="88">
        <f t="shared" si="12"/>
        <v>0</v>
      </c>
      <c r="G86" s="94"/>
      <c r="H86" s="88">
        <f t="shared" si="25"/>
        <v>0</v>
      </c>
      <c r="I86" s="89">
        <f>SUM(H86/'B - Operating Budget'!$D$40)</f>
        <v>0</v>
      </c>
      <c r="J86" s="95"/>
      <c r="K86" s="96"/>
      <c r="N86" s="90">
        <f t="shared" si="4"/>
        <v>0</v>
      </c>
      <c r="O86" s="91">
        <f t="shared" si="5"/>
        <v>0</v>
      </c>
      <c r="P86" s="91">
        <f t="shared" si="14"/>
        <v>0</v>
      </c>
      <c r="Q86" s="91">
        <f t="shared" si="14"/>
        <v>0</v>
      </c>
      <c r="R86" s="91">
        <f t="shared" si="26"/>
        <v>0</v>
      </c>
      <c r="T86" s="91">
        <f t="shared" si="8"/>
        <v>0</v>
      </c>
      <c r="U86" s="91">
        <f t="shared" si="9"/>
        <v>0</v>
      </c>
      <c r="V86" s="91">
        <f t="shared" si="28"/>
        <v>0</v>
      </c>
      <c r="W86" s="91">
        <f t="shared" si="28"/>
        <v>0</v>
      </c>
      <c r="X86" s="92">
        <f t="shared" si="27"/>
        <v>0</v>
      </c>
    </row>
    <row r="87" spans="1:24" x14ac:dyDescent="0.25">
      <c r="A87" s="97"/>
      <c r="B87" s="93"/>
      <c r="C87" s="93"/>
      <c r="D87" s="94"/>
      <c r="E87" s="94"/>
      <c r="F87" s="88">
        <f t="shared" si="12"/>
        <v>0</v>
      </c>
      <c r="G87" s="94"/>
      <c r="H87" s="88">
        <f t="shared" si="23"/>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4"/>
        <v>0</v>
      </c>
      <c r="W87" s="91">
        <f t="shared" si="24"/>
        <v>0</v>
      </c>
      <c r="X87" s="92">
        <f t="shared" si="11"/>
        <v>0</v>
      </c>
    </row>
    <row r="88" spans="1:24" x14ac:dyDescent="0.25">
      <c r="A88" s="97"/>
      <c r="B88" s="93"/>
      <c r="C88" s="93"/>
      <c r="D88" s="94"/>
      <c r="E88" s="94"/>
      <c r="F88" s="88">
        <f t="shared" si="12"/>
        <v>0</v>
      </c>
      <c r="G88" s="94"/>
      <c r="H88" s="88">
        <f t="shared" si="23"/>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4"/>
        <v>0</v>
      </c>
      <c r="W88" s="91">
        <f t="shared" si="24"/>
        <v>0</v>
      </c>
      <c r="X88" s="92">
        <f t="shared" si="11"/>
        <v>0</v>
      </c>
    </row>
    <row r="89" spans="1:24" x14ac:dyDescent="0.25">
      <c r="A89" s="97"/>
      <c r="B89" s="93"/>
      <c r="C89" s="93"/>
      <c r="D89" s="94"/>
      <c r="E89" s="94"/>
      <c r="F89" s="88">
        <f t="shared" si="12"/>
        <v>0</v>
      </c>
      <c r="G89" s="94"/>
      <c r="H89" s="88">
        <f t="shared" si="23"/>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4"/>
        <v>0</v>
      </c>
      <c r="W89" s="91">
        <f t="shared" si="24"/>
        <v>0</v>
      </c>
      <c r="X89" s="92">
        <f t="shared" si="11"/>
        <v>0</v>
      </c>
    </row>
    <row r="90" spans="1:24" x14ac:dyDescent="0.25">
      <c r="A90" s="97"/>
      <c r="B90" s="93"/>
      <c r="C90" s="93"/>
      <c r="D90" s="94"/>
      <c r="E90" s="94"/>
      <c r="F90" s="88">
        <f t="shared" si="12"/>
        <v>0</v>
      </c>
      <c r="G90" s="94"/>
      <c r="H90" s="88">
        <f t="shared" si="23"/>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4"/>
        <v>0</v>
      </c>
      <c r="W90" s="91">
        <f t="shared" si="24"/>
        <v>0</v>
      </c>
      <c r="X90" s="92">
        <f t="shared" si="11"/>
        <v>0</v>
      </c>
    </row>
    <row r="91" spans="1:24" x14ac:dyDescent="0.25">
      <c r="A91" s="97"/>
      <c r="B91" s="93"/>
      <c r="C91" s="93"/>
      <c r="D91" s="94"/>
      <c r="E91" s="94"/>
      <c r="F91" s="88">
        <f t="shared" ref="F91:F102" si="29">SUM(D91:E91)</f>
        <v>0</v>
      </c>
      <c r="G91" s="94"/>
      <c r="H91" s="88">
        <f t="shared" ref="H91:H102" si="30">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4"/>
        <v>0</v>
      </c>
      <c r="W91" s="91">
        <f t="shared" si="24"/>
        <v>0</v>
      </c>
      <c r="X91" s="92">
        <f t="shared" si="11"/>
        <v>0</v>
      </c>
    </row>
    <row r="92" spans="1:24" x14ac:dyDescent="0.25">
      <c r="A92" s="97"/>
      <c r="B92" s="93"/>
      <c r="C92" s="93"/>
      <c r="D92" s="94"/>
      <c r="E92" s="94"/>
      <c r="F92" s="88">
        <f t="shared" si="29"/>
        <v>0</v>
      </c>
      <c r="G92" s="94"/>
      <c r="H92" s="88">
        <f t="shared" si="30"/>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4"/>
        <v>0</v>
      </c>
      <c r="W92" s="91">
        <f t="shared" si="24"/>
        <v>0</v>
      </c>
      <c r="X92" s="92">
        <f t="shared" si="11"/>
        <v>0</v>
      </c>
    </row>
    <row r="93" spans="1:24" x14ac:dyDescent="0.25">
      <c r="A93" s="97"/>
      <c r="B93" s="93"/>
      <c r="C93" s="93"/>
      <c r="D93" s="94"/>
      <c r="E93" s="94"/>
      <c r="F93" s="88">
        <f t="shared" si="29"/>
        <v>0</v>
      </c>
      <c r="G93" s="94"/>
      <c r="H93" s="88">
        <f t="shared" si="30"/>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4"/>
        <v>0</v>
      </c>
      <c r="W93" s="91">
        <f t="shared" si="24"/>
        <v>0</v>
      </c>
      <c r="X93" s="92">
        <f t="shared" si="11"/>
        <v>0</v>
      </c>
    </row>
    <row r="94" spans="1:24" x14ac:dyDescent="0.25">
      <c r="A94" s="97"/>
      <c r="B94" s="93"/>
      <c r="C94" s="93"/>
      <c r="D94" s="94"/>
      <c r="E94" s="94"/>
      <c r="F94" s="88">
        <f t="shared" si="29"/>
        <v>0</v>
      </c>
      <c r="G94" s="94"/>
      <c r="H94" s="88">
        <f t="shared" si="30"/>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4"/>
        <v>0</v>
      </c>
      <c r="W94" s="91">
        <f t="shared" si="24"/>
        <v>0</v>
      </c>
      <c r="X94" s="92">
        <f t="shared" si="11"/>
        <v>0</v>
      </c>
    </row>
    <row r="95" spans="1:24" x14ac:dyDescent="0.25">
      <c r="A95" s="97"/>
      <c r="B95" s="93"/>
      <c r="C95" s="93"/>
      <c r="D95" s="94"/>
      <c r="E95" s="94"/>
      <c r="F95" s="88">
        <f t="shared" si="29"/>
        <v>0</v>
      </c>
      <c r="G95" s="94"/>
      <c r="H95" s="88">
        <f t="shared" si="30"/>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4"/>
        <v>0</v>
      </c>
      <c r="W95" s="91">
        <f t="shared" si="24"/>
        <v>0</v>
      </c>
      <c r="X95" s="92">
        <f t="shared" si="11"/>
        <v>0</v>
      </c>
    </row>
    <row r="96" spans="1:24" x14ac:dyDescent="0.25">
      <c r="A96" s="97"/>
      <c r="B96" s="93"/>
      <c r="C96" s="93"/>
      <c r="D96" s="94"/>
      <c r="E96" s="94"/>
      <c r="F96" s="88">
        <f t="shared" si="29"/>
        <v>0</v>
      </c>
      <c r="G96" s="94"/>
      <c r="H96" s="88">
        <f t="shared" si="30"/>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4"/>
        <v>0</v>
      </c>
      <c r="W96" s="91">
        <f t="shared" si="24"/>
        <v>0</v>
      </c>
      <c r="X96" s="92">
        <f t="shared" si="11"/>
        <v>0</v>
      </c>
    </row>
    <row r="97" spans="1:24" x14ac:dyDescent="0.25">
      <c r="A97" s="97"/>
      <c r="B97" s="93"/>
      <c r="C97" s="93"/>
      <c r="D97" s="94"/>
      <c r="E97" s="94"/>
      <c r="F97" s="88">
        <f t="shared" si="29"/>
        <v>0</v>
      </c>
      <c r="G97" s="94"/>
      <c r="H97" s="88">
        <f t="shared" si="30"/>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4"/>
        <v>0</v>
      </c>
      <c r="W97" s="91">
        <f t="shared" si="24"/>
        <v>0</v>
      </c>
      <c r="X97" s="92">
        <f t="shared" si="11"/>
        <v>0</v>
      </c>
    </row>
    <row r="98" spans="1:24" x14ac:dyDescent="0.25">
      <c r="A98" s="97"/>
      <c r="B98" s="93"/>
      <c r="C98" s="93"/>
      <c r="D98" s="94"/>
      <c r="E98" s="94"/>
      <c r="F98" s="88">
        <f t="shared" si="29"/>
        <v>0</v>
      </c>
      <c r="G98" s="94"/>
      <c r="H98" s="88">
        <f t="shared" si="30"/>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4"/>
        <v>0</v>
      </c>
      <c r="W98" s="91">
        <f t="shared" si="24"/>
        <v>0</v>
      </c>
      <c r="X98" s="92">
        <f t="shared" si="11"/>
        <v>0</v>
      </c>
    </row>
    <row r="99" spans="1:24" x14ac:dyDescent="0.25">
      <c r="A99" s="97"/>
      <c r="B99" s="93"/>
      <c r="C99" s="93"/>
      <c r="D99" s="94"/>
      <c r="E99" s="94"/>
      <c r="F99" s="88">
        <f t="shared" si="29"/>
        <v>0</v>
      </c>
      <c r="G99" s="94"/>
      <c r="H99" s="88">
        <f t="shared" si="30"/>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4"/>
        <v>0</v>
      </c>
      <c r="W99" s="91">
        <f t="shared" si="24"/>
        <v>0</v>
      </c>
      <c r="X99" s="92">
        <f t="shared" si="11"/>
        <v>0</v>
      </c>
    </row>
    <row r="100" spans="1:24" x14ac:dyDescent="0.25">
      <c r="A100" s="97"/>
      <c r="B100" s="93"/>
      <c r="C100" s="93"/>
      <c r="D100" s="94"/>
      <c r="E100" s="94"/>
      <c r="F100" s="88">
        <f t="shared" si="29"/>
        <v>0</v>
      </c>
      <c r="G100" s="94"/>
      <c r="H100" s="88">
        <f t="shared" si="30"/>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4"/>
        <v>0</v>
      </c>
      <c r="W100" s="91">
        <f t="shared" si="24"/>
        <v>0</v>
      </c>
      <c r="X100" s="92">
        <f t="shared" si="11"/>
        <v>0</v>
      </c>
    </row>
    <row r="101" spans="1:24" x14ac:dyDescent="0.25">
      <c r="A101" s="97"/>
      <c r="B101" s="93"/>
      <c r="C101" s="93"/>
      <c r="D101" s="94"/>
      <c r="E101" s="94"/>
      <c r="F101" s="88">
        <f t="shared" si="29"/>
        <v>0</v>
      </c>
      <c r="G101" s="94"/>
      <c r="H101" s="88">
        <f t="shared" si="30"/>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4"/>
        <v>0</v>
      </c>
      <c r="W101" s="91">
        <f t="shared" si="24"/>
        <v>0</v>
      </c>
      <c r="X101" s="92">
        <f t="shared" si="11"/>
        <v>0</v>
      </c>
    </row>
    <row r="102" spans="1:24" x14ac:dyDescent="0.25">
      <c r="A102" s="97"/>
      <c r="B102" s="93"/>
      <c r="C102" s="93"/>
      <c r="D102" s="94"/>
      <c r="E102" s="94"/>
      <c r="F102" s="88">
        <f t="shared" si="29"/>
        <v>0</v>
      </c>
      <c r="G102" s="94"/>
      <c r="H102" s="88">
        <f t="shared" si="30"/>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4"/>
        <v>0</v>
      </c>
      <c r="W102" s="91">
        <f t="shared" si="24"/>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4"/>
        <v>0</v>
      </c>
      <c r="W103" s="91">
        <f t="shared" si="24"/>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171380.87</v>
      </c>
      <c r="E109" s="127">
        <f>SUM(E7:E103)</f>
        <v>4489125.4230000004</v>
      </c>
      <c r="F109" s="127">
        <f>SUM(F7:F103)</f>
        <v>4660506.2930000005</v>
      </c>
      <c r="G109" s="127">
        <f>SUM(G7:G103)</f>
        <v>1356115.75</v>
      </c>
      <c r="H109" s="127">
        <f>SUM(H7:H103)</f>
        <v>6016622.0429999987</v>
      </c>
      <c r="I109" s="126"/>
      <c r="J109" s="126">
        <f>SUM(J7:J103)</f>
        <v>1266</v>
      </c>
      <c r="K109" s="102"/>
      <c r="N109" s="103">
        <f>SUM(N7:N103)</f>
        <v>0</v>
      </c>
      <c r="O109" s="104">
        <f t="shared" ref="O109:R109" si="31">SUM(O7:O103)</f>
        <v>0</v>
      </c>
      <c r="P109" s="104">
        <f t="shared" si="31"/>
        <v>2244562.7115000002</v>
      </c>
      <c r="Q109" s="104">
        <f t="shared" si="31"/>
        <v>2244562.7115000002</v>
      </c>
      <c r="R109" s="104">
        <f t="shared" si="31"/>
        <v>4489125.4230000004</v>
      </c>
      <c r="S109" s="105"/>
      <c r="T109" s="104">
        <f>SUM(T7:T103)</f>
        <v>0</v>
      </c>
      <c r="U109" s="104">
        <f t="shared" ref="U109:X109" si="32">SUM(U7:U103)</f>
        <v>0</v>
      </c>
      <c r="V109" s="104">
        <f t="shared" si="32"/>
        <v>678057.875</v>
      </c>
      <c r="W109" s="104">
        <f t="shared" si="32"/>
        <v>678057.875</v>
      </c>
      <c r="X109" s="106">
        <f t="shared" si="32"/>
        <v>1356115.75</v>
      </c>
    </row>
  </sheetData>
  <sheetProtection algorithmName="SHA-512" hashValue="figiJ1LWs4PqaJNrqGH2WrqVuhFRQJTJRI/u6jZ53CjZO2QfRvrolqTDtcqyddJoAQdG1piNpyWJiUPe8NJx5A==" saltValue="QkWXv/vMHQFYzdaffEgW/A==" spinCount="100000" sheet="1" objects="1" scenarios="1"/>
  <mergeCells count="5">
    <mergeCell ref="N1:X1"/>
    <mergeCell ref="T2:X2"/>
    <mergeCell ref="T3:X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4.4" x14ac:dyDescent="0.3"/>
  <cols>
    <col min="1" max="1" width="10.44140625" customWidth="1"/>
    <col min="2" max="2" width="18.5546875" customWidth="1"/>
    <col min="3" max="3" width="18.77734375" customWidth="1"/>
    <col min="4" max="4" width="50.77734375" customWidth="1"/>
    <col min="5" max="5" width="40.21875" customWidth="1"/>
    <col min="7" max="7" width="34" customWidth="1"/>
    <col min="8" max="8" width="18.5546875" customWidth="1"/>
    <col min="9" max="9" width="26.21875" style="261" customWidth="1"/>
    <col min="10" max="10" width="28.5546875" customWidth="1"/>
    <col min="11" max="11" width="23.21875" style="261" customWidth="1"/>
    <col min="14" max="14" width="98.77734375" customWidth="1"/>
    <col min="15" max="15" width="19.77734375" customWidth="1"/>
  </cols>
  <sheetData>
    <row r="1" spans="1:15" ht="42.6" customHeight="1" x14ac:dyDescent="0.3">
      <c r="A1" s="250" t="s">
        <v>2</v>
      </c>
      <c r="B1" s="250" t="s">
        <v>347</v>
      </c>
      <c r="C1" s="250" t="s">
        <v>348</v>
      </c>
      <c r="D1" s="65" t="s">
        <v>349</v>
      </c>
      <c r="E1" s="65" t="s">
        <v>350</v>
      </c>
      <c r="G1" s="250" t="s">
        <v>351</v>
      </c>
      <c r="H1" s="250" t="s">
        <v>352</v>
      </c>
      <c r="I1" s="261" t="s">
        <v>353</v>
      </c>
      <c r="J1" s="250" t="s">
        <v>354</v>
      </c>
      <c r="K1" s="265" t="s">
        <v>355</v>
      </c>
      <c r="N1" s="54" t="s">
        <v>356</v>
      </c>
      <c r="O1" s="47" t="s">
        <v>357</v>
      </c>
    </row>
    <row r="2" spans="1:15" ht="43.2" x14ac:dyDescent="0.3">
      <c r="A2" t="s">
        <v>358</v>
      </c>
      <c r="B2" t="s">
        <v>30</v>
      </c>
      <c r="C2" t="s">
        <v>359</v>
      </c>
      <c r="D2" t="s">
        <v>360</v>
      </c>
      <c r="E2" t="s">
        <v>361</v>
      </c>
      <c r="F2" s="66">
        <v>1</v>
      </c>
      <c r="G2" t="s">
        <v>362</v>
      </c>
      <c r="H2" t="s">
        <v>363</v>
      </c>
      <c r="I2" s="261" t="s">
        <v>364</v>
      </c>
      <c r="J2" t="s">
        <v>365</v>
      </c>
      <c r="K2" s="261" t="s">
        <v>366</v>
      </c>
      <c r="N2" s="8" t="s">
        <v>367</v>
      </c>
      <c r="O2" s="48">
        <f>SUM('A-Contracts-Partnerships Matrix'!D109)</f>
        <v>171380.87</v>
      </c>
    </row>
    <row r="3" spans="1:15" ht="43.2" x14ac:dyDescent="0.3">
      <c r="A3" t="s">
        <v>368</v>
      </c>
      <c r="B3" t="s">
        <v>33</v>
      </c>
      <c r="C3" t="s">
        <v>31</v>
      </c>
      <c r="D3" t="s">
        <v>369</v>
      </c>
      <c r="E3" t="s">
        <v>370</v>
      </c>
      <c r="F3" s="66">
        <v>0.5</v>
      </c>
      <c r="G3" t="s">
        <v>371</v>
      </c>
      <c r="H3" t="s">
        <v>372</v>
      </c>
      <c r="I3" s="261" t="s">
        <v>373</v>
      </c>
      <c r="J3" t="s">
        <v>374</v>
      </c>
      <c r="K3" s="261" t="s">
        <v>375</v>
      </c>
      <c r="N3" s="8" t="s">
        <v>376</v>
      </c>
      <c r="O3" s="49">
        <f>SUM('B - Operating Budget'!C15+'B - Operating Budget'!C18+'B - Operating Budget'!C23+'B - Operating Budget'!C27)-('B - Operating Budget'!B15+'B - Operating Budget'!B18+'B - Operating Budget'!B23+'B - Operating Budget'!B27)</f>
        <v>767054.13</v>
      </c>
    </row>
    <row r="4" spans="1:15" ht="28.8" x14ac:dyDescent="0.3">
      <c r="A4" t="s">
        <v>377</v>
      </c>
      <c r="C4" t="s">
        <v>378</v>
      </c>
      <c r="D4" t="s">
        <v>379</v>
      </c>
      <c r="G4" t="s">
        <v>380</v>
      </c>
      <c r="H4" t="s">
        <v>381</v>
      </c>
      <c r="I4" s="261" t="s">
        <v>382</v>
      </c>
      <c r="J4" t="s">
        <v>383</v>
      </c>
      <c r="K4" s="261" t="s">
        <v>384</v>
      </c>
      <c r="N4" s="8" t="s">
        <v>385</v>
      </c>
      <c r="O4" s="48">
        <f>SUM('D- Optional-County Adm Budget'!D117)</f>
        <v>344384</v>
      </c>
    </row>
    <row r="5" spans="1:15" ht="21.6" customHeight="1" thickBot="1" x14ac:dyDescent="0.35">
      <c r="A5" t="s">
        <v>386</v>
      </c>
      <c r="C5" t="s">
        <v>387</v>
      </c>
      <c r="D5" t="s">
        <v>388</v>
      </c>
      <c r="J5" t="s">
        <v>389</v>
      </c>
      <c r="K5" s="261" t="s">
        <v>390</v>
      </c>
      <c r="N5" s="8" t="s">
        <v>391</v>
      </c>
      <c r="O5" s="55">
        <f>SUM(O2:O4)</f>
        <v>1282819</v>
      </c>
    </row>
    <row r="6" spans="1:15" ht="18.600000000000001" customHeight="1" thickTop="1" x14ac:dyDescent="0.3">
      <c r="A6" t="s">
        <v>392</v>
      </c>
      <c r="C6" t="s">
        <v>393</v>
      </c>
      <c r="J6" t="s">
        <v>394</v>
      </c>
      <c r="K6" s="261" t="s">
        <v>395</v>
      </c>
      <c r="N6" s="46" t="s">
        <v>396</v>
      </c>
      <c r="O6" s="45"/>
    </row>
    <row r="7" spans="1:15" x14ac:dyDescent="0.3">
      <c r="A7" t="s">
        <v>3</v>
      </c>
      <c r="J7" t="s">
        <v>397</v>
      </c>
      <c r="K7" s="261" t="s">
        <v>398</v>
      </c>
      <c r="N7" s="8" t="s">
        <v>399</v>
      </c>
      <c r="O7" s="48">
        <f>SUM('A-Contracts-Partnerships Matrix'!N109+'A-Contracts-Partnerships Matrix'!P109)</f>
        <v>2244562.7115000002</v>
      </c>
    </row>
    <row r="8" spans="1:15" ht="28.8" x14ac:dyDescent="0.3">
      <c r="J8" t="s">
        <v>400</v>
      </c>
      <c r="K8" s="261" t="s">
        <v>401</v>
      </c>
      <c r="N8" s="8" t="s">
        <v>402</v>
      </c>
      <c r="O8" s="49">
        <f>SUM('B - Operating Budget'!C15+'B - Operating Budget'!C18+'B - Operating Budget'!C23+'B - Operating Budget'!C27)-O3</f>
        <v>0</v>
      </c>
    </row>
    <row r="9" spans="1:15" x14ac:dyDescent="0.3">
      <c r="J9" t="s">
        <v>403</v>
      </c>
      <c r="N9" s="8" t="s">
        <v>404</v>
      </c>
      <c r="O9" s="48">
        <f>SUM('D- Optional-County Adm Budget'!E117)/2</f>
        <v>1039353</v>
      </c>
    </row>
    <row r="10" spans="1:15" x14ac:dyDescent="0.3">
      <c r="J10" t="s">
        <v>405</v>
      </c>
      <c r="N10" s="8" t="s">
        <v>406</v>
      </c>
      <c r="O10" s="48">
        <f>IF('C -Fund Sources &amp; Total FY Fund'!$E$9&gt;0,'C -Fund Sources &amp; Total FY Fund'!$E$9/2,0)</f>
        <v>0</v>
      </c>
    </row>
    <row r="11" spans="1:15" ht="15" thickBot="1" x14ac:dyDescent="0.35">
      <c r="J11" t="s">
        <v>407</v>
      </c>
      <c r="N11" s="8" t="s">
        <v>408</v>
      </c>
      <c r="O11" s="55">
        <f>SUM(O7:O10)</f>
        <v>3283915.7115000002</v>
      </c>
    </row>
    <row r="12" spans="1:15" ht="15" thickTop="1" x14ac:dyDescent="0.3">
      <c r="N12" s="8"/>
      <c r="O12" s="45"/>
    </row>
    <row r="13" spans="1:15" x14ac:dyDescent="0.3">
      <c r="N13" s="50" t="s">
        <v>409</v>
      </c>
      <c r="O13" s="45"/>
    </row>
    <row r="14" spans="1:15" x14ac:dyDescent="0.3">
      <c r="N14" s="8" t="s">
        <v>410</v>
      </c>
      <c r="O14" s="48">
        <f>SUM('A-Contracts-Partnerships Matrix'!O109+'A-Contracts-Partnerships Matrix'!Q109)</f>
        <v>2244562.7115000002</v>
      </c>
    </row>
    <row r="15" spans="1:15" x14ac:dyDescent="0.3">
      <c r="N15" s="8" t="s">
        <v>411</v>
      </c>
      <c r="O15" s="49">
        <f>SUM('B - Operating Budget'!B15+'B - Operating Budget'!B18+'B - Operating Budget'!B23+'B - Operating Budget'!B27)</f>
        <v>0</v>
      </c>
    </row>
    <row r="16" spans="1:15" x14ac:dyDescent="0.3">
      <c r="N16" s="8" t="s">
        <v>412</v>
      </c>
      <c r="O16" s="48">
        <f>SUM('D- Optional-County Adm Budget'!E117)/2</f>
        <v>1039353</v>
      </c>
    </row>
    <row r="17" spans="14:15" x14ac:dyDescent="0.3">
      <c r="N17" s="8" t="s">
        <v>406</v>
      </c>
      <c r="O17" s="48">
        <f>IF('C -Fund Sources &amp; Total FY Fund'!$E$9&gt;0,'C -Fund Sources &amp; Total FY Fund'!$E$9/2,0)</f>
        <v>0</v>
      </c>
    </row>
    <row r="18" spans="14:15" ht="15" thickBot="1" x14ac:dyDescent="0.35">
      <c r="N18" s="8" t="s">
        <v>413</v>
      </c>
      <c r="O18" s="55">
        <f>SUM(O14:O17)</f>
        <v>3283915.7115000002</v>
      </c>
    </row>
    <row r="19" spans="14:15" ht="15.6" thickTop="1" thickBot="1" x14ac:dyDescent="0.35">
      <c r="N19" s="51" t="s">
        <v>414</v>
      </c>
      <c r="O19" s="52">
        <f>SUM(O5+O11+O18)</f>
        <v>7850650.4230000004</v>
      </c>
    </row>
    <row r="20" spans="14:15" ht="15" thickBot="1" x14ac:dyDescent="0.35"/>
    <row r="21" spans="14:15" x14ac:dyDescent="0.3">
      <c r="N21" s="358" t="s">
        <v>415</v>
      </c>
      <c r="O21" s="359"/>
    </row>
    <row r="22" spans="14:15" x14ac:dyDescent="0.3">
      <c r="N22" s="360"/>
      <c r="O22" s="361"/>
    </row>
    <row r="23" spans="14:15" x14ac:dyDescent="0.3">
      <c r="N23" s="360"/>
      <c r="O23" s="361"/>
    </row>
    <row r="24" spans="14:15" x14ac:dyDescent="0.3">
      <c r="N24" s="360"/>
      <c r="O24" s="361"/>
    </row>
    <row r="25" spans="14:15" x14ac:dyDescent="0.3">
      <c r="N25" s="360"/>
      <c r="O25" s="361"/>
    </row>
    <row r="26" spans="14:15" x14ac:dyDescent="0.3">
      <c r="N26" s="360"/>
      <c r="O26" s="361"/>
    </row>
    <row r="27" spans="14:15" x14ac:dyDescent="0.3">
      <c r="N27" s="360"/>
      <c r="O27" s="361"/>
    </row>
    <row r="28" spans="14:15" x14ac:dyDescent="0.3">
      <c r="N28" s="360"/>
      <c r="O28" s="361"/>
    </row>
    <row r="29" spans="14:15" ht="15" thickBot="1" x14ac:dyDescent="0.35">
      <c r="N29" s="362"/>
      <c r="O29" s="363"/>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80" zoomScaleNormal="80" workbookViewId="0">
      <selection activeCell="C11" sqref="C11"/>
    </sheetView>
  </sheetViews>
  <sheetFormatPr defaultColWidth="8.77734375" defaultRowHeight="13.8" x14ac:dyDescent="0.25"/>
  <cols>
    <col min="1" max="2" width="30.77734375" style="24" customWidth="1"/>
    <col min="3" max="3" width="25.77734375" style="24" customWidth="1"/>
    <col min="4" max="5" width="14.5546875" style="24" customWidth="1"/>
    <col min="6" max="7" width="30.77734375" style="24" customWidth="1"/>
    <col min="8" max="8" width="18.21875" style="24" customWidth="1"/>
    <col min="9" max="9" width="15.77734375" style="24" customWidth="1"/>
    <col min="10" max="16384" width="8.77734375" style="24"/>
  </cols>
  <sheetData>
    <row r="1" spans="1:9" ht="34.5" customHeight="1" x14ac:dyDescent="0.25">
      <c r="A1" s="44" t="s">
        <v>0</v>
      </c>
      <c r="B1" s="39" t="str">
        <f>'A-Contracts-Partnerships Matrix'!B1</f>
        <v>MINNESOTA</v>
      </c>
      <c r="C1" s="39"/>
      <c r="D1" s="39"/>
      <c r="E1" s="39"/>
      <c r="F1" s="39"/>
      <c r="G1" s="39"/>
      <c r="H1" s="40" t="s">
        <v>2</v>
      </c>
      <c r="I1" s="56" t="str">
        <f>'A-Contracts-Partnerships Matrix'!J1</f>
        <v>FY2025</v>
      </c>
    </row>
    <row r="2" spans="1:9" ht="15.6" x14ac:dyDescent="0.3">
      <c r="A2" s="320" t="s">
        <v>58</v>
      </c>
      <c r="B2" s="321"/>
      <c r="C2" s="321"/>
      <c r="D2" s="321"/>
      <c r="E2" s="321"/>
      <c r="F2" s="321"/>
      <c r="G2" s="321"/>
      <c r="H2" s="321"/>
      <c r="I2" s="322"/>
    </row>
    <row r="3" spans="1:9" ht="24" customHeight="1" x14ac:dyDescent="0.3">
      <c r="A3" s="368" t="s">
        <v>59</v>
      </c>
      <c r="B3" s="369"/>
      <c r="C3" s="369"/>
      <c r="D3" s="369"/>
      <c r="E3" s="369"/>
      <c r="F3" s="369"/>
      <c r="G3" s="369"/>
      <c r="H3" s="369"/>
      <c r="I3" s="370"/>
    </row>
    <row r="4" spans="1:9" ht="18" customHeight="1" x14ac:dyDescent="0.3">
      <c r="A4" s="310"/>
      <c r="B4" s="311"/>
      <c r="C4" s="311"/>
      <c r="D4" s="311"/>
      <c r="E4" s="311"/>
      <c r="F4" s="311"/>
      <c r="G4" s="311"/>
      <c r="H4" s="311"/>
      <c r="I4" s="312"/>
    </row>
    <row r="5" spans="1:9" ht="18" customHeight="1" x14ac:dyDescent="0.3">
      <c r="A5" s="193" t="s">
        <v>60</v>
      </c>
      <c r="B5" s="191"/>
      <c r="C5" s="191"/>
      <c r="D5" s="191"/>
      <c r="E5" s="191"/>
      <c r="F5" s="191"/>
      <c r="G5" s="191"/>
      <c r="H5" s="191"/>
      <c r="I5" s="192">
        <f>SUM(I8:I108)</f>
        <v>239</v>
      </c>
    </row>
    <row r="6" spans="1:9" ht="18" customHeight="1" x14ac:dyDescent="0.3">
      <c r="A6" s="310"/>
      <c r="B6" s="311"/>
      <c r="C6" s="311"/>
      <c r="D6" s="311"/>
      <c r="E6" s="311"/>
      <c r="F6" s="311"/>
      <c r="G6" s="311"/>
      <c r="H6" s="311"/>
      <c r="I6" s="312"/>
    </row>
    <row r="7" spans="1:9" s="73" customFormat="1" ht="41.4" x14ac:dyDescent="0.25">
      <c r="A7" s="117" t="s">
        <v>61</v>
      </c>
      <c r="B7" s="118" t="s">
        <v>62</v>
      </c>
      <c r="C7" s="118" t="s">
        <v>63</v>
      </c>
      <c r="D7" s="118" t="s">
        <v>64</v>
      </c>
      <c r="E7" s="118" t="s">
        <v>65</v>
      </c>
      <c r="F7" s="118" t="s">
        <v>66</v>
      </c>
      <c r="G7" s="118" t="s">
        <v>67</v>
      </c>
      <c r="H7" s="118" t="s">
        <v>68</v>
      </c>
      <c r="I7" s="119" t="s">
        <v>69</v>
      </c>
    </row>
    <row r="8" spans="1:9" ht="69" x14ac:dyDescent="0.25">
      <c r="A8" s="108" t="s">
        <v>70</v>
      </c>
      <c r="B8" s="109" t="s">
        <v>71</v>
      </c>
      <c r="C8" s="109" t="s">
        <v>72</v>
      </c>
      <c r="D8" s="110" t="s">
        <v>73</v>
      </c>
      <c r="E8" s="110" t="s">
        <v>74</v>
      </c>
      <c r="F8" s="109" t="s">
        <v>75</v>
      </c>
      <c r="G8" s="109" t="s">
        <v>76</v>
      </c>
      <c r="H8" s="110" t="s">
        <v>77</v>
      </c>
      <c r="I8" s="111">
        <v>40</v>
      </c>
    </row>
    <row r="9" spans="1:9" ht="124.2" x14ac:dyDescent="0.25">
      <c r="A9" s="108" t="s">
        <v>70</v>
      </c>
      <c r="B9" s="109" t="s">
        <v>78</v>
      </c>
      <c r="C9" s="109" t="s">
        <v>79</v>
      </c>
      <c r="D9" s="110" t="s">
        <v>80</v>
      </c>
      <c r="E9" s="110" t="s">
        <v>74</v>
      </c>
      <c r="F9" s="109" t="s">
        <v>81</v>
      </c>
      <c r="G9" s="109" t="s">
        <v>76</v>
      </c>
      <c r="H9" s="110" t="s">
        <v>77</v>
      </c>
      <c r="I9" s="111">
        <v>22</v>
      </c>
    </row>
    <row r="10" spans="1:9" ht="13.05" customHeight="1" x14ac:dyDescent="0.25">
      <c r="A10" s="108" t="s">
        <v>70</v>
      </c>
      <c r="B10" s="109" t="s">
        <v>82</v>
      </c>
      <c r="C10" s="109" t="s">
        <v>83</v>
      </c>
      <c r="D10" s="110" t="s">
        <v>73</v>
      </c>
      <c r="E10" s="110" t="s">
        <v>74</v>
      </c>
      <c r="F10" s="109" t="s">
        <v>84</v>
      </c>
      <c r="G10" s="109" t="s">
        <v>76</v>
      </c>
      <c r="H10" s="110" t="s">
        <v>85</v>
      </c>
      <c r="I10" s="111">
        <v>40</v>
      </c>
    </row>
    <row r="11" spans="1:9" ht="69" x14ac:dyDescent="0.25">
      <c r="A11" s="303" t="s">
        <v>70</v>
      </c>
      <c r="B11" s="304" t="s">
        <v>86</v>
      </c>
      <c r="C11" s="304" t="s">
        <v>87</v>
      </c>
      <c r="D11" s="305" t="s">
        <v>88</v>
      </c>
      <c r="E11" s="79"/>
      <c r="F11" s="304" t="s">
        <v>89</v>
      </c>
      <c r="G11" s="109" t="s">
        <v>76</v>
      </c>
      <c r="H11" s="110" t="s">
        <v>85</v>
      </c>
      <c r="I11" s="111">
        <v>20</v>
      </c>
    </row>
    <row r="12" spans="1:9" ht="151.80000000000001" x14ac:dyDescent="0.25">
      <c r="A12" s="303" t="s">
        <v>90</v>
      </c>
      <c r="B12" s="304" t="s">
        <v>91</v>
      </c>
      <c r="C12" s="304" t="s">
        <v>90</v>
      </c>
      <c r="D12" s="305" t="s">
        <v>92</v>
      </c>
      <c r="E12" s="305" t="s">
        <v>93</v>
      </c>
      <c r="F12" s="306" t="s">
        <v>94</v>
      </c>
      <c r="G12" s="304" t="s">
        <v>95</v>
      </c>
      <c r="H12" s="110" t="s">
        <v>33</v>
      </c>
      <c r="I12" s="111">
        <v>12</v>
      </c>
    </row>
    <row r="13" spans="1:9" ht="55.2" x14ac:dyDescent="0.25">
      <c r="A13" s="303" t="s">
        <v>90</v>
      </c>
      <c r="B13" s="304" t="s">
        <v>96</v>
      </c>
      <c r="C13" s="304" t="s">
        <v>90</v>
      </c>
      <c r="D13" s="305" t="s">
        <v>97</v>
      </c>
      <c r="E13" s="305" t="s">
        <v>93</v>
      </c>
      <c r="F13" s="306" t="s">
        <v>98</v>
      </c>
      <c r="G13" s="109" t="s">
        <v>99</v>
      </c>
      <c r="H13" s="110" t="s">
        <v>30</v>
      </c>
      <c r="I13" s="111">
        <v>80</v>
      </c>
    </row>
    <row r="14" spans="1:9" ht="27.6" x14ac:dyDescent="0.25">
      <c r="A14" s="108" t="s">
        <v>90</v>
      </c>
      <c r="B14" s="109" t="s">
        <v>100</v>
      </c>
      <c r="C14" s="109" t="s">
        <v>90</v>
      </c>
      <c r="D14" s="110" t="s">
        <v>101</v>
      </c>
      <c r="E14" s="110" t="s">
        <v>93</v>
      </c>
      <c r="F14" s="109" t="s">
        <v>102</v>
      </c>
      <c r="G14" s="109" t="s">
        <v>103</v>
      </c>
      <c r="H14" s="110" t="s">
        <v>30</v>
      </c>
      <c r="I14" s="111">
        <v>25</v>
      </c>
    </row>
    <row r="15" spans="1:9" x14ac:dyDescent="0.25">
      <c r="A15" s="108"/>
      <c r="B15" s="109"/>
      <c r="C15" s="109"/>
      <c r="D15" s="110"/>
      <c r="E15" s="110"/>
      <c r="F15" s="109"/>
      <c r="G15" s="109"/>
      <c r="H15" s="110"/>
      <c r="I15" s="111"/>
    </row>
    <row r="16" spans="1:9" x14ac:dyDescent="0.25">
      <c r="A16" s="108"/>
      <c r="B16" s="109"/>
      <c r="C16" s="109"/>
      <c r="D16" s="110"/>
      <c r="E16" s="110"/>
      <c r="F16" s="109"/>
      <c r="G16" s="109"/>
      <c r="H16" s="110"/>
      <c r="I16" s="111"/>
    </row>
    <row r="17" spans="1:9" x14ac:dyDescent="0.25">
      <c r="A17" s="108"/>
      <c r="B17" s="109"/>
      <c r="C17" s="109"/>
      <c r="D17" s="110"/>
      <c r="E17" s="110"/>
      <c r="F17" s="109"/>
      <c r="G17" s="109"/>
      <c r="H17" s="110"/>
      <c r="I17" s="111"/>
    </row>
    <row r="18" spans="1:9" x14ac:dyDescent="0.25">
      <c r="A18" s="108"/>
      <c r="B18" s="109"/>
      <c r="C18" s="109"/>
      <c r="D18" s="110"/>
      <c r="E18" s="110"/>
      <c r="F18" s="109"/>
      <c r="G18" s="109"/>
      <c r="H18" s="110"/>
      <c r="I18" s="111"/>
    </row>
    <row r="19" spans="1:9" x14ac:dyDescent="0.25">
      <c r="A19" s="108"/>
      <c r="B19" s="109"/>
      <c r="C19" s="109"/>
      <c r="D19" s="110"/>
      <c r="E19" s="110"/>
      <c r="F19" s="109"/>
      <c r="G19" s="109"/>
      <c r="H19" s="110"/>
      <c r="I19" s="111"/>
    </row>
    <row r="20" spans="1:9" x14ac:dyDescent="0.25">
      <c r="A20" s="108"/>
      <c r="B20" s="109"/>
      <c r="C20" s="109"/>
      <c r="D20" s="110"/>
      <c r="E20" s="110"/>
      <c r="F20" s="109"/>
      <c r="G20" s="109"/>
      <c r="H20" s="110"/>
      <c r="I20" s="111"/>
    </row>
    <row r="21" spans="1:9" x14ac:dyDescent="0.25">
      <c r="A21" s="108"/>
      <c r="B21" s="109"/>
      <c r="C21" s="109"/>
      <c r="D21" s="110"/>
      <c r="E21" s="110"/>
      <c r="F21" s="109"/>
      <c r="G21" s="109"/>
      <c r="H21" s="110"/>
      <c r="I21" s="111"/>
    </row>
    <row r="22" spans="1:9" x14ac:dyDescent="0.25">
      <c r="A22" s="108"/>
      <c r="B22" s="109"/>
      <c r="C22" s="109"/>
      <c r="D22" s="110"/>
      <c r="E22" s="110"/>
      <c r="F22" s="109"/>
      <c r="G22" s="109"/>
      <c r="H22" s="110"/>
      <c r="I22" s="111"/>
    </row>
    <row r="23" spans="1:9" x14ac:dyDescent="0.25">
      <c r="A23" s="108"/>
      <c r="B23" s="109"/>
      <c r="C23" s="109"/>
      <c r="D23" s="110"/>
      <c r="E23" s="110"/>
      <c r="F23" s="109"/>
      <c r="G23" s="109"/>
      <c r="H23" s="110"/>
      <c r="I23" s="111"/>
    </row>
    <row r="24" spans="1:9" x14ac:dyDescent="0.25">
      <c r="A24" s="108"/>
      <c r="B24" s="109"/>
      <c r="C24" s="109"/>
      <c r="D24" s="110"/>
      <c r="E24" s="110"/>
      <c r="F24" s="109"/>
      <c r="G24" s="109"/>
      <c r="H24" s="110"/>
      <c r="I24" s="111"/>
    </row>
    <row r="25" spans="1:9" x14ac:dyDescent="0.25">
      <c r="A25" s="108"/>
      <c r="B25" s="109"/>
      <c r="C25" s="109"/>
      <c r="D25" s="110"/>
      <c r="E25" s="110"/>
      <c r="F25" s="109"/>
      <c r="G25" s="109"/>
      <c r="H25" s="110"/>
      <c r="I25" s="111"/>
    </row>
    <row r="26" spans="1:9" x14ac:dyDescent="0.25">
      <c r="A26" s="108"/>
      <c r="B26" s="109"/>
      <c r="C26" s="109"/>
      <c r="D26" s="110"/>
      <c r="E26" s="110"/>
      <c r="F26" s="109"/>
      <c r="G26" s="109"/>
      <c r="H26" s="110"/>
      <c r="I26" s="111"/>
    </row>
    <row r="27" spans="1:9" x14ac:dyDescent="0.25">
      <c r="A27" s="108"/>
      <c r="B27" s="109"/>
      <c r="C27" s="109"/>
      <c r="D27" s="110"/>
      <c r="E27" s="110"/>
      <c r="F27" s="109"/>
      <c r="G27" s="109"/>
      <c r="H27" s="110"/>
      <c r="I27" s="111"/>
    </row>
    <row r="28" spans="1:9" x14ac:dyDescent="0.25">
      <c r="A28" s="108"/>
      <c r="B28" s="109"/>
      <c r="C28" s="109"/>
      <c r="D28" s="110"/>
      <c r="E28" s="110"/>
      <c r="F28" s="109"/>
      <c r="G28" s="109"/>
      <c r="H28" s="110"/>
      <c r="I28" s="111"/>
    </row>
    <row r="29" spans="1:9" x14ac:dyDescent="0.25">
      <c r="A29" s="108"/>
      <c r="B29" s="109"/>
      <c r="C29" s="109"/>
      <c r="D29" s="110"/>
      <c r="E29" s="110"/>
      <c r="F29" s="109"/>
      <c r="G29" s="109"/>
      <c r="H29" s="110"/>
      <c r="I29" s="111"/>
    </row>
    <row r="30" spans="1:9" x14ac:dyDescent="0.25">
      <c r="A30" s="108"/>
      <c r="B30" s="109"/>
      <c r="C30" s="109"/>
      <c r="D30" s="110"/>
      <c r="E30" s="110"/>
      <c r="F30" s="109"/>
      <c r="G30" s="109"/>
      <c r="H30" s="110"/>
      <c r="I30" s="111"/>
    </row>
    <row r="31" spans="1:9" x14ac:dyDescent="0.25">
      <c r="A31" s="108"/>
      <c r="B31" s="109"/>
      <c r="C31" s="109"/>
      <c r="D31" s="110"/>
      <c r="E31" s="110"/>
      <c r="F31" s="109"/>
      <c r="G31" s="109"/>
      <c r="H31" s="110"/>
      <c r="I31" s="111"/>
    </row>
    <row r="32" spans="1:9" x14ac:dyDescent="0.25">
      <c r="A32" s="108"/>
      <c r="B32" s="109"/>
      <c r="C32" s="109"/>
      <c r="D32" s="110"/>
      <c r="E32" s="110"/>
      <c r="F32" s="109"/>
      <c r="G32" s="109"/>
      <c r="H32" s="110"/>
      <c r="I32" s="111"/>
    </row>
    <row r="33" spans="1:9" x14ac:dyDescent="0.25">
      <c r="A33" s="108"/>
      <c r="B33" s="109"/>
      <c r="C33" s="109"/>
      <c r="D33" s="110"/>
      <c r="E33" s="110"/>
      <c r="F33" s="109"/>
      <c r="G33" s="109"/>
      <c r="H33" s="110"/>
      <c r="I33" s="111"/>
    </row>
    <row r="34" spans="1:9" x14ac:dyDescent="0.25">
      <c r="A34" s="108"/>
      <c r="B34" s="109"/>
      <c r="C34" s="109"/>
      <c r="D34" s="110"/>
      <c r="E34" s="110"/>
      <c r="F34" s="109"/>
      <c r="G34" s="109"/>
      <c r="H34" s="110"/>
      <c r="I34" s="111"/>
    </row>
    <row r="35" spans="1:9" x14ac:dyDescent="0.25">
      <c r="A35" s="108"/>
      <c r="B35" s="109"/>
      <c r="C35" s="109"/>
      <c r="D35" s="110"/>
      <c r="E35" s="110"/>
      <c r="F35" s="109"/>
      <c r="G35" s="109"/>
      <c r="H35" s="110"/>
      <c r="I35" s="111"/>
    </row>
    <row r="36" spans="1:9" x14ac:dyDescent="0.25">
      <c r="A36" s="108"/>
      <c r="B36" s="109"/>
      <c r="C36" s="109"/>
      <c r="D36" s="110"/>
      <c r="E36" s="110"/>
      <c r="F36" s="109"/>
      <c r="G36" s="109"/>
      <c r="H36" s="110"/>
      <c r="I36" s="111"/>
    </row>
    <row r="37" spans="1:9" x14ac:dyDescent="0.25">
      <c r="A37" s="108"/>
      <c r="B37" s="109"/>
      <c r="C37" s="109"/>
      <c r="D37" s="110"/>
      <c r="E37" s="110"/>
      <c r="F37" s="109"/>
      <c r="G37" s="109"/>
      <c r="H37" s="110"/>
      <c r="I37" s="111"/>
    </row>
    <row r="38" spans="1:9" x14ac:dyDescent="0.25">
      <c r="A38" s="108"/>
      <c r="B38" s="109"/>
      <c r="C38" s="109"/>
      <c r="D38" s="110"/>
      <c r="E38" s="110"/>
      <c r="F38" s="109"/>
      <c r="G38" s="109"/>
      <c r="H38" s="110"/>
      <c r="I38" s="111"/>
    </row>
    <row r="39" spans="1:9" x14ac:dyDescent="0.25">
      <c r="A39" s="108"/>
      <c r="B39" s="109"/>
      <c r="C39" s="109"/>
      <c r="D39" s="110"/>
      <c r="E39" s="110"/>
      <c r="F39" s="109"/>
      <c r="G39" s="109"/>
      <c r="H39" s="110"/>
      <c r="I39" s="111"/>
    </row>
    <row r="40" spans="1:9" x14ac:dyDescent="0.25">
      <c r="A40" s="108"/>
      <c r="B40" s="109"/>
      <c r="C40" s="109"/>
      <c r="D40" s="110"/>
      <c r="E40" s="110"/>
      <c r="F40" s="109"/>
      <c r="G40" s="109"/>
      <c r="H40" s="110"/>
      <c r="I40" s="111"/>
    </row>
    <row r="41" spans="1:9" x14ac:dyDescent="0.25">
      <c r="A41" s="108"/>
      <c r="B41" s="109"/>
      <c r="C41" s="109"/>
      <c r="D41" s="110"/>
      <c r="E41" s="110"/>
      <c r="F41" s="109"/>
      <c r="G41" s="109"/>
      <c r="H41" s="110"/>
      <c r="I41" s="111"/>
    </row>
    <row r="42" spans="1:9" x14ac:dyDescent="0.25">
      <c r="A42" s="108"/>
      <c r="B42" s="109"/>
      <c r="C42" s="109"/>
      <c r="D42" s="110"/>
      <c r="E42" s="110"/>
      <c r="F42" s="109"/>
      <c r="G42" s="109"/>
      <c r="H42" s="110"/>
      <c r="I42" s="111"/>
    </row>
    <row r="43" spans="1:9" x14ac:dyDescent="0.25">
      <c r="A43" s="108"/>
      <c r="B43" s="109"/>
      <c r="C43" s="109"/>
      <c r="D43" s="110"/>
      <c r="E43" s="110"/>
      <c r="F43" s="109"/>
      <c r="G43" s="109"/>
      <c r="H43" s="110"/>
      <c r="I43" s="111"/>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4.4" thickBot="1" x14ac:dyDescent="0.3">
      <c r="A108" s="112"/>
      <c r="B108" s="113"/>
      <c r="C108" s="113"/>
      <c r="D108" s="114"/>
      <c r="E108" s="114"/>
      <c r="F108" s="113"/>
      <c r="G108" s="113"/>
      <c r="H108" s="114"/>
      <c r="I108" s="115"/>
    </row>
    <row r="113" spans="1:9" x14ac:dyDescent="0.25">
      <c r="A113" s="116" t="s">
        <v>104</v>
      </c>
      <c r="B113" s="116"/>
      <c r="C113" s="116"/>
      <c r="D113" s="116"/>
      <c r="E113" s="116"/>
      <c r="F113" s="116"/>
      <c r="G113" s="116"/>
      <c r="H113" s="116"/>
      <c r="I113" s="116">
        <f>SUM(I8:I108)</f>
        <v>239</v>
      </c>
    </row>
  </sheetData>
  <sheetProtection algorithmName="SHA-512" hashValue="7e9Rz35JEl9nehY5g9RK/C00DqCv7rKgX3IFGAROJeboH+hz8EeTsUQztpXpsZEGdq6CxC4X98Rav35Z1SFvYA==" saltValue="lYesQJ2uGl0L0XC1VP+WRA==" spinCount="100000" sheet="1" objects="1" scenarios="1"/>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39"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zoomScale="94" zoomScaleNormal="94" workbookViewId="0">
      <selection activeCell="A3" sqref="A3"/>
    </sheetView>
  </sheetViews>
  <sheetFormatPr defaultColWidth="8.77734375" defaultRowHeight="13.8" x14ac:dyDescent="0.25"/>
  <cols>
    <col min="1" max="1" width="40.77734375" style="73" customWidth="1"/>
    <col min="2" max="4" width="20.77734375" style="24" customWidth="1"/>
    <col min="5" max="16384" width="8.77734375" style="24"/>
  </cols>
  <sheetData>
    <row r="1" spans="1:4" x14ac:dyDescent="0.25">
      <c r="A1" s="44" t="s">
        <v>0</v>
      </c>
      <c r="B1" s="39" t="str">
        <f>'A-Contracts-Partnerships Matrix'!B1</f>
        <v>MINNESOTA</v>
      </c>
      <c r="C1" s="40" t="s">
        <v>2</v>
      </c>
      <c r="D1" s="56" t="str">
        <f>'A-Contracts-Partnerships Matrix'!J1</f>
        <v>FY2025</v>
      </c>
    </row>
    <row r="2" spans="1:4" ht="16.2" thickBot="1" x14ac:dyDescent="0.35">
      <c r="A2" s="323" t="s">
        <v>105</v>
      </c>
      <c r="B2" s="313"/>
      <c r="C2" s="313"/>
      <c r="D2" s="324"/>
    </row>
    <row r="3" spans="1:4" ht="16.2" customHeight="1" thickBot="1" x14ac:dyDescent="0.35">
      <c r="A3" s="371" t="s">
        <v>106</v>
      </c>
      <c r="B3" s="325"/>
      <c r="C3" s="325"/>
      <c r="D3" s="326"/>
    </row>
    <row r="4" spans="1:4" x14ac:dyDescent="0.25">
      <c r="A4" s="128" t="s">
        <v>107</v>
      </c>
      <c r="B4" s="129" t="s">
        <v>108</v>
      </c>
      <c r="C4" s="129" t="s">
        <v>109</v>
      </c>
      <c r="D4" s="130" t="s">
        <v>104</v>
      </c>
    </row>
    <row r="5" spans="1:4" x14ac:dyDescent="0.25">
      <c r="A5" s="131" t="s">
        <v>110</v>
      </c>
      <c r="B5" s="132"/>
      <c r="C5" s="132"/>
      <c r="D5" s="133"/>
    </row>
    <row r="6" spans="1:4" x14ac:dyDescent="0.25">
      <c r="A6" s="134" t="s">
        <v>111</v>
      </c>
      <c r="B6" s="135">
        <v>0</v>
      </c>
      <c r="C6" s="135">
        <v>491142.09</v>
      </c>
      <c r="D6" s="136">
        <f>SUM(B6:C6)</f>
        <v>491142.09</v>
      </c>
    </row>
    <row r="7" spans="1:4" ht="55.2" x14ac:dyDescent="0.25">
      <c r="A7" s="134" t="s">
        <v>112</v>
      </c>
      <c r="B7" s="137"/>
      <c r="C7" s="137"/>
      <c r="D7" s="138"/>
    </row>
    <row r="8" spans="1:4" x14ac:dyDescent="0.25">
      <c r="A8" s="139"/>
      <c r="B8" s="140">
        <f>ROUND(SUM(B6*$A$8),0)</f>
        <v>0</v>
      </c>
      <c r="C8" s="140">
        <f>ROUND(SUM(C6*$A$8),0)</f>
        <v>0</v>
      </c>
      <c r="D8" s="136">
        <f>ROUND(SUM(B8:C8),0)</f>
        <v>0</v>
      </c>
    </row>
    <row r="9" spans="1:4" x14ac:dyDescent="0.25">
      <c r="A9" s="141" t="s">
        <v>113</v>
      </c>
      <c r="B9" s="135"/>
      <c r="C9" s="135">
        <v>189362.04</v>
      </c>
      <c r="D9" s="136">
        <f>ROUND(SUM(B9:C9),0)</f>
        <v>189362</v>
      </c>
    </row>
    <row r="10" spans="1:4" x14ac:dyDescent="0.25">
      <c r="A10" s="142" t="s">
        <v>114</v>
      </c>
      <c r="B10" s="135"/>
      <c r="C10" s="135">
        <f>18500-6000</f>
        <v>12500</v>
      </c>
      <c r="D10" s="136">
        <f t="shared" ref="D10:D15" si="0">SUM(B10:C10)</f>
        <v>12500</v>
      </c>
    </row>
    <row r="11" spans="1:4" x14ac:dyDescent="0.25">
      <c r="A11" s="142" t="s">
        <v>115</v>
      </c>
      <c r="B11" s="135"/>
      <c r="C11" s="135"/>
      <c r="D11" s="136">
        <f t="shared" si="0"/>
        <v>0</v>
      </c>
    </row>
    <row r="12" spans="1:4" x14ac:dyDescent="0.25">
      <c r="A12" s="142" t="s">
        <v>116</v>
      </c>
      <c r="B12" s="135">
        <v>0</v>
      </c>
      <c r="C12" s="135">
        <v>6000</v>
      </c>
      <c r="D12" s="136">
        <f t="shared" si="0"/>
        <v>6000</v>
      </c>
    </row>
    <row r="13" spans="1:4" x14ac:dyDescent="0.25">
      <c r="A13" s="142" t="s">
        <v>117</v>
      </c>
      <c r="B13" s="135">
        <v>0</v>
      </c>
      <c r="C13" s="135"/>
      <c r="D13" s="136">
        <f t="shared" si="0"/>
        <v>0</v>
      </c>
    </row>
    <row r="14" spans="1:4" x14ac:dyDescent="0.25">
      <c r="A14" s="142" t="s">
        <v>118</v>
      </c>
      <c r="B14" s="135"/>
      <c r="C14" s="135"/>
      <c r="D14" s="136">
        <f t="shared" si="0"/>
        <v>0</v>
      </c>
    </row>
    <row r="15" spans="1:4" x14ac:dyDescent="0.25">
      <c r="A15" s="143" t="s">
        <v>119</v>
      </c>
      <c r="B15" s="140">
        <f>SUM(B6:B14)</f>
        <v>0</v>
      </c>
      <c r="C15" s="140">
        <f>SUM(C6:C14)</f>
        <v>699004.13</v>
      </c>
      <c r="D15" s="136">
        <f t="shared" si="0"/>
        <v>699004.13</v>
      </c>
    </row>
    <row r="16" spans="1:4" ht="41.4" x14ac:dyDescent="0.25">
      <c r="A16" s="144" t="s">
        <v>120</v>
      </c>
      <c r="B16" s="140">
        <f>SUM('A-Contracts-Partnerships Matrix'!O109+'A-Contracts-Partnerships Matrix'!Q109)</f>
        <v>2244562.7115000002</v>
      </c>
      <c r="C16" s="140">
        <f>SUM('A-Contracts-Partnerships Matrix'!N109+'A-Contracts-Partnerships Matrix'!P109)+'A-Contracts-Partnerships Matrix'!D109</f>
        <v>2415943.5815000003</v>
      </c>
      <c r="D16" s="136">
        <f>SUM(B16:C16)</f>
        <v>4660506.2930000005</v>
      </c>
    </row>
    <row r="17" spans="1:4" ht="41.4" x14ac:dyDescent="0.25">
      <c r="A17" s="144" t="s">
        <v>121</v>
      </c>
      <c r="B17" s="140">
        <f>SUM('D- Optional-County Adm Budget'!E117)/2</f>
        <v>1039353</v>
      </c>
      <c r="C17" s="140">
        <f>SUM('D- Optional-County Adm Budget'!E117)/2+'D- Optional-County Adm Budget'!D117</f>
        <v>1383737</v>
      </c>
      <c r="D17" s="136">
        <f>SUM(B17:C17)</f>
        <v>2423090</v>
      </c>
    </row>
    <row r="18" spans="1:4" ht="63.75" customHeight="1" x14ac:dyDescent="0.25">
      <c r="A18" s="134" t="s">
        <v>122</v>
      </c>
      <c r="B18" s="135"/>
      <c r="C18" s="135"/>
      <c r="D18" s="136">
        <f>SUM(B18:C18)</f>
        <v>0</v>
      </c>
    </row>
    <row r="19" spans="1:4" x14ac:dyDescent="0.25">
      <c r="A19" s="144" t="s">
        <v>123</v>
      </c>
      <c r="B19" s="140">
        <f>SUM(B15:B18)</f>
        <v>3283915.7115000002</v>
      </c>
      <c r="C19" s="140">
        <f>SUM(C15:C18)</f>
        <v>4498684.7115000002</v>
      </c>
      <c r="D19" s="136">
        <f>SUM(B19:C19)</f>
        <v>7782600.4230000004</v>
      </c>
    </row>
    <row r="20" spans="1:4" x14ac:dyDescent="0.25">
      <c r="A20" s="145"/>
      <c r="B20" s="132"/>
      <c r="C20" s="132"/>
      <c r="D20" s="133"/>
    </row>
    <row r="21" spans="1:4" ht="55.2" x14ac:dyDescent="0.25">
      <c r="A21" s="131" t="s">
        <v>124</v>
      </c>
      <c r="B21" s="132"/>
      <c r="C21" s="132"/>
      <c r="D21" s="133"/>
    </row>
    <row r="22" spans="1:4" ht="27.6" x14ac:dyDescent="0.25">
      <c r="A22" s="145" t="s">
        <v>125</v>
      </c>
      <c r="B22" s="137"/>
      <c r="C22" s="137"/>
      <c r="D22" s="138"/>
    </row>
    <row r="23" spans="1:4" x14ac:dyDescent="0.25">
      <c r="A23" s="139"/>
      <c r="B23" s="140">
        <f>ROUND(SUM(B15*A23),0)</f>
        <v>0</v>
      </c>
      <c r="C23" s="140">
        <f>ROUND(SUM(C15*A23),0)</f>
        <v>0</v>
      </c>
      <c r="D23" s="136">
        <f>SUM(B23:C23)</f>
        <v>0</v>
      </c>
    </row>
    <row r="24" spans="1:4" x14ac:dyDescent="0.25">
      <c r="A24" s="146"/>
      <c r="B24" s="137"/>
      <c r="C24" s="137"/>
      <c r="D24" s="138"/>
    </row>
    <row r="25" spans="1:4" ht="27.6" x14ac:dyDescent="0.25">
      <c r="A25" s="139" t="s">
        <v>126</v>
      </c>
      <c r="B25" s="135"/>
      <c r="C25" s="135">
        <v>68050</v>
      </c>
      <c r="D25" s="136">
        <f t="shared" ref="D25:D26" si="1">SUM(B25:C25)</f>
        <v>68050</v>
      </c>
    </row>
    <row r="26" spans="1:4" ht="41.4" x14ac:dyDescent="0.25">
      <c r="A26" s="139" t="s">
        <v>127</v>
      </c>
      <c r="B26" s="135"/>
      <c r="C26" s="135">
        <v>0</v>
      </c>
      <c r="D26" s="136">
        <f t="shared" si="1"/>
        <v>0</v>
      </c>
    </row>
    <row r="27" spans="1:4" ht="27.6" x14ac:dyDescent="0.25">
      <c r="A27" s="139" t="s">
        <v>128</v>
      </c>
      <c r="B27" s="147">
        <f>SUM(B25:B26)</f>
        <v>0</v>
      </c>
      <c r="C27" s="147">
        <f>SUM(C25:C26)</f>
        <v>68050</v>
      </c>
      <c r="D27" s="136">
        <f>SUM(B27:C27)</f>
        <v>68050</v>
      </c>
    </row>
    <row r="28" spans="1:4" x14ac:dyDescent="0.25">
      <c r="A28" s="145"/>
      <c r="B28" s="132"/>
      <c r="C28" s="132"/>
      <c r="D28" s="133"/>
    </row>
    <row r="29" spans="1:4" x14ac:dyDescent="0.25">
      <c r="A29" s="131" t="s">
        <v>129</v>
      </c>
      <c r="B29" s="132"/>
      <c r="C29" s="132"/>
      <c r="D29" s="133"/>
    </row>
    <row r="30" spans="1:4" x14ac:dyDescent="0.25">
      <c r="A30" s="134" t="s">
        <v>130</v>
      </c>
      <c r="B30" s="135">
        <v>0</v>
      </c>
      <c r="C30" s="135">
        <v>0</v>
      </c>
      <c r="D30" s="136">
        <f>SUM(B30:C30)</f>
        <v>0</v>
      </c>
    </row>
    <row r="31" spans="1:4" x14ac:dyDescent="0.25">
      <c r="A31" s="145"/>
      <c r="B31" s="132"/>
      <c r="C31" s="132"/>
      <c r="D31" s="133"/>
    </row>
    <row r="32" spans="1:4" x14ac:dyDescent="0.25">
      <c r="A32" s="148" t="s">
        <v>131</v>
      </c>
      <c r="B32" s="140">
        <f>SUM(B19+B23+B27+B30)</f>
        <v>3283915.7115000002</v>
      </c>
      <c r="C32" s="140">
        <f t="shared" ref="C32:D32" si="2">SUM(C19+C23+C27+C30)</f>
        <v>4566734.7115000002</v>
      </c>
      <c r="D32" s="140">
        <f t="shared" si="2"/>
        <v>7850650.4230000004</v>
      </c>
    </row>
    <row r="33" spans="1:13" x14ac:dyDescent="0.25">
      <c r="A33" s="145"/>
      <c r="B33" s="132"/>
      <c r="C33" s="132"/>
      <c r="D33" s="133"/>
    </row>
    <row r="34" spans="1:13" x14ac:dyDescent="0.25">
      <c r="A34" s="131" t="s">
        <v>132</v>
      </c>
      <c r="B34" s="132"/>
      <c r="C34" s="132"/>
      <c r="D34" s="133"/>
    </row>
    <row r="35" spans="1:13" ht="41.4" x14ac:dyDescent="0.25">
      <c r="A35" s="134" t="s">
        <v>133</v>
      </c>
      <c r="B35" s="135">
        <v>1000</v>
      </c>
      <c r="C35" s="135">
        <v>1000</v>
      </c>
      <c r="D35" s="136">
        <f>SUM(B35:C35)</f>
        <v>2000</v>
      </c>
      <c r="E35" s="73"/>
      <c r="F35" s="73"/>
      <c r="G35" s="73"/>
      <c r="H35" s="73"/>
      <c r="I35" s="73"/>
      <c r="J35" s="73"/>
      <c r="K35" s="73"/>
      <c r="L35" s="73"/>
      <c r="M35" s="73"/>
    </row>
    <row r="36" spans="1:13" ht="41.4" x14ac:dyDescent="0.25">
      <c r="A36" s="134" t="s">
        <v>134</v>
      </c>
      <c r="B36" s="135">
        <v>734477</v>
      </c>
      <c r="C36" s="135">
        <v>734477</v>
      </c>
      <c r="D36" s="136">
        <f>SUM(B36:C36)</f>
        <v>1468954</v>
      </c>
      <c r="E36" s="73"/>
      <c r="F36" s="73"/>
      <c r="G36" s="73"/>
      <c r="H36" s="73"/>
      <c r="I36" s="73"/>
      <c r="J36" s="73"/>
      <c r="K36" s="73"/>
      <c r="L36" s="73"/>
      <c r="M36" s="73"/>
    </row>
    <row r="37" spans="1:13" x14ac:dyDescent="0.25">
      <c r="A37" s="134" t="s">
        <v>135</v>
      </c>
      <c r="B37" s="135">
        <v>0</v>
      </c>
      <c r="C37" s="149"/>
      <c r="D37" s="136">
        <f>SUM(B37:C37)</f>
        <v>0</v>
      </c>
    </row>
    <row r="38" spans="1:13" x14ac:dyDescent="0.25">
      <c r="A38" s="144" t="s">
        <v>136</v>
      </c>
      <c r="B38" s="140">
        <f>SUM(B35:B37)</f>
        <v>735477</v>
      </c>
      <c r="C38" s="140">
        <f>SUM(C35:C36)</f>
        <v>735477</v>
      </c>
      <c r="D38" s="136">
        <f>SUM(B38:C38)</f>
        <v>1470954</v>
      </c>
    </row>
    <row r="39" spans="1:13" x14ac:dyDescent="0.25">
      <c r="A39" s="145"/>
      <c r="B39" s="132"/>
      <c r="C39" s="132"/>
      <c r="D39" s="133"/>
    </row>
    <row r="40" spans="1:13" ht="14.4" thickBot="1" x14ac:dyDescent="0.3">
      <c r="A40" s="150" t="s">
        <v>137</v>
      </c>
      <c r="B40" s="151">
        <f>SUM(B32+B38)</f>
        <v>4019392.7115000002</v>
      </c>
      <c r="C40" s="151">
        <f>SUM(C32+C38)</f>
        <v>5302211.7115000002</v>
      </c>
      <c r="D40" s="152">
        <f>SUM(B40:C40)</f>
        <v>9321604.4230000004</v>
      </c>
    </row>
  </sheetData>
  <sheetProtection algorithmName="SHA-512" hashValue="yyBt5z9EbGd3ZGRa7/BCqDryCgKWUhM3RcZtWV2ZqVDUDJqa6l5SlVGv2LfGt6GDAHRRXg0i7wRMokkZEokDZA==" saltValue="Kd9QBohJR/jkneI3DHYhyA==" spinCount="100000" sheet="1" objects="1" scenarios="1"/>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workbookViewId="0"/>
  </sheetViews>
  <sheetFormatPr defaultRowHeight="14.4" x14ac:dyDescent="0.3"/>
  <cols>
    <col min="1" max="1" width="13.88671875" customWidth="1"/>
    <col min="2" max="2" width="42.21875" customWidth="1"/>
    <col min="3" max="6" width="20.77734375" customWidth="1"/>
    <col min="9" max="9" width="14.21875" bestFit="1" customWidth="1"/>
    <col min="14" max="14" width="98.21875" customWidth="1"/>
    <col min="15" max="15" width="19.21875" customWidth="1"/>
    <col min="16" max="16" width="4.77734375" customWidth="1"/>
    <col min="17" max="17" width="14.77734375" customWidth="1"/>
  </cols>
  <sheetData>
    <row r="1" spans="1:17" ht="55.8" x14ac:dyDescent="0.3">
      <c r="A1" s="38" t="s">
        <v>0</v>
      </c>
      <c r="B1" s="39" t="str">
        <f>'A-Contracts-Partnerships Matrix'!B1</f>
        <v>MINNESOTA</v>
      </c>
      <c r="D1" s="39"/>
      <c r="E1" s="40" t="s">
        <v>2</v>
      </c>
      <c r="F1" s="56" t="str">
        <f>'A-Contracts-Partnerships Matrix'!J1</f>
        <v>FY2025</v>
      </c>
      <c r="N1" s="349"/>
      <c r="O1" s="349"/>
    </row>
    <row r="2" spans="1:17" ht="15.6" x14ac:dyDescent="0.3">
      <c r="A2" s="318" t="s">
        <v>138</v>
      </c>
      <c r="B2" s="319"/>
      <c r="C2" s="319"/>
      <c r="D2" s="319"/>
      <c r="E2" s="319"/>
      <c r="F2" s="329"/>
      <c r="N2" s="349"/>
      <c r="O2" s="349"/>
    </row>
    <row r="3" spans="1:17" ht="21.6" customHeight="1" thickBot="1" x14ac:dyDescent="0.35">
      <c r="A3" s="372" t="s">
        <v>139</v>
      </c>
      <c r="B3" s="327"/>
      <c r="C3" s="327"/>
      <c r="D3" s="327"/>
      <c r="E3" s="327"/>
      <c r="F3" s="328"/>
      <c r="N3" s="348"/>
      <c r="O3" s="348"/>
    </row>
    <row r="4" spans="1:17" ht="62.4" x14ac:dyDescent="0.3">
      <c r="A4" s="27" t="s">
        <v>140</v>
      </c>
      <c r="B4" s="28" t="s">
        <v>141</v>
      </c>
      <c r="C4" s="26" t="s">
        <v>142</v>
      </c>
      <c r="D4" s="29" t="s">
        <v>143</v>
      </c>
      <c r="E4" s="29" t="s">
        <v>144</v>
      </c>
      <c r="F4" s="30" t="s">
        <v>145</v>
      </c>
      <c r="N4" s="265"/>
      <c r="O4" s="287"/>
    </row>
    <row r="5" spans="1:17" ht="15.6" x14ac:dyDescent="0.3">
      <c r="A5" s="22" t="s">
        <v>146</v>
      </c>
      <c r="B5" s="12" t="s">
        <v>147</v>
      </c>
      <c r="C5" s="17">
        <f>VLOOKUP(B1,'FY25 Final Allocations 5-10-24'!1:1048576,2,FALSE)</f>
        <v>1282819</v>
      </c>
      <c r="D5" s="17">
        <f>IF(lookups!O5&gt;C5,C5,lookups!O5)</f>
        <v>1282819</v>
      </c>
      <c r="E5" s="17">
        <f>SUM(D5-C5)</f>
        <v>0</v>
      </c>
      <c r="F5" s="20">
        <f>SUM(D5/C5)</f>
        <v>1</v>
      </c>
      <c r="I5" s="25"/>
      <c r="O5" s="288"/>
    </row>
    <row r="6" spans="1:17" ht="15.6" x14ac:dyDescent="0.3">
      <c r="A6" s="22" t="s">
        <v>146</v>
      </c>
      <c r="B6" s="23" t="s">
        <v>148</v>
      </c>
      <c r="C6" s="31"/>
      <c r="D6" s="53">
        <f>IF(lookups!O5-D5&gt;C6,C6,lookups!O5-D5)</f>
        <v>0</v>
      </c>
      <c r="E6" s="17">
        <f t="shared" ref="E6:E7" si="0">SUM(D6-C6)</f>
        <v>0</v>
      </c>
      <c r="F6" s="11"/>
      <c r="O6" s="289"/>
    </row>
    <row r="7" spans="1:17" ht="15.6" x14ac:dyDescent="0.3">
      <c r="A7" s="22" t="s">
        <v>146</v>
      </c>
      <c r="B7" s="12" t="s">
        <v>149</v>
      </c>
      <c r="C7" s="17">
        <f>VLOOKUP(B1,'FY25 Final Allocations 5-10-24'!1:1048576,4,FALSE)</f>
        <v>0</v>
      </c>
      <c r="D7" s="53">
        <f>IF(lookups!O5-D6-D5&gt;C7,C7,lookups!O5-D5-D6)</f>
        <v>0</v>
      </c>
      <c r="E7" s="17">
        <f t="shared" si="0"/>
        <v>0</v>
      </c>
      <c r="F7" s="11"/>
      <c r="O7" s="288"/>
    </row>
    <row r="8" spans="1:17" ht="15.6" x14ac:dyDescent="0.3">
      <c r="A8" s="5"/>
      <c r="B8" s="12"/>
      <c r="C8" s="280"/>
      <c r="D8" s="280"/>
      <c r="E8" s="280"/>
      <c r="F8" s="11"/>
      <c r="O8" s="289"/>
    </row>
    <row r="9" spans="1:17" ht="15.6" x14ac:dyDescent="0.3">
      <c r="A9" s="22" t="s">
        <v>146</v>
      </c>
      <c r="B9" s="12" t="s">
        <v>150</v>
      </c>
      <c r="C9" s="17">
        <f>SUM(C5:C7)</f>
        <v>1282819</v>
      </c>
      <c r="D9" s="17">
        <f>SUM(D5:D7)</f>
        <v>1282819</v>
      </c>
      <c r="E9" s="17">
        <f>SUM(lookups!O5-C9)</f>
        <v>0</v>
      </c>
      <c r="F9" s="20"/>
      <c r="I9" s="25"/>
      <c r="N9" s="250"/>
    </row>
    <row r="10" spans="1:17" ht="15.6" x14ac:dyDescent="0.3">
      <c r="A10" s="22" t="s">
        <v>146</v>
      </c>
      <c r="B10" s="12" t="s">
        <v>151</v>
      </c>
      <c r="C10" s="2"/>
      <c r="D10" s="32">
        <f>SUM(lookups!O11)</f>
        <v>3283915.7115000002</v>
      </c>
      <c r="E10" s="4"/>
      <c r="F10" s="7"/>
      <c r="I10" s="25"/>
      <c r="O10" s="288"/>
    </row>
    <row r="11" spans="1:17" ht="15.6" x14ac:dyDescent="0.3">
      <c r="A11" s="22" t="s">
        <v>152</v>
      </c>
      <c r="B11" s="12" t="s">
        <v>151</v>
      </c>
      <c r="C11" s="2"/>
      <c r="D11" s="17">
        <f>SUM(lookups!O18)</f>
        <v>3283915.7115000002</v>
      </c>
      <c r="E11" s="4"/>
      <c r="F11" s="7"/>
      <c r="O11" s="289"/>
    </row>
    <row r="12" spans="1:17" ht="15.6" x14ac:dyDescent="0.3">
      <c r="A12" s="22" t="s">
        <v>146</v>
      </c>
      <c r="B12" s="12" t="s">
        <v>153</v>
      </c>
      <c r="C12" s="2"/>
      <c r="D12" s="32">
        <f>SUM('B - Operating Budget'!C38)</f>
        <v>735477</v>
      </c>
      <c r="E12" s="4"/>
      <c r="F12" s="7"/>
      <c r="O12" s="288"/>
      <c r="Q12" s="25"/>
    </row>
    <row r="13" spans="1:17" ht="15.6" x14ac:dyDescent="0.3">
      <c r="A13" s="22" t="s">
        <v>152</v>
      </c>
      <c r="B13" s="12" t="s">
        <v>153</v>
      </c>
      <c r="C13" s="2"/>
      <c r="D13" s="17">
        <f>SUM('B - Operating Budget'!B38)</f>
        <v>735477</v>
      </c>
      <c r="E13" s="4"/>
      <c r="F13" s="7"/>
      <c r="I13" s="25"/>
      <c r="O13" s="288"/>
    </row>
    <row r="14" spans="1:17" ht="15.6" x14ac:dyDescent="0.3">
      <c r="A14" s="22" t="s">
        <v>146</v>
      </c>
      <c r="B14" s="12" t="s">
        <v>154</v>
      </c>
      <c r="C14" s="17">
        <f>VLOOKUP(B1,'FY25 Final Allocations 5-10-24'!1:1048576,3,FALSE)</f>
        <v>4105728</v>
      </c>
      <c r="D14" s="17">
        <f>SUM(D10+D12)</f>
        <v>4019392.7115000002</v>
      </c>
      <c r="E14" s="17">
        <f>SUM(D14-C14)</f>
        <v>-86335.288499999791</v>
      </c>
      <c r="F14" s="11"/>
      <c r="O14" s="289"/>
    </row>
    <row r="15" spans="1:17" ht="15.6" x14ac:dyDescent="0.3">
      <c r="A15" s="22" t="s">
        <v>155</v>
      </c>
      <c r="B15" s="13"/>
      <c r="C15" s="1"/>
      <c r="D15" s="1"/>
      <c r="E15" s="1"/>
      <c r="F15" s="3"/>
    </row>
    <row r="16" spans="1:17" ht="16.2" thickBot="1" x14ac:dyDescent="0.35">
      <c r="A16" s="41"/>
      <c r="B16" s="14" t="s">
        <v>104</v>
      </c>
      <c r="C16" s="19">
        <f>SUM(C9+C14)</f>
        <v>5388547</v>
      </c>
      <c r="D16" s="19">
        <f>SUM(D9:D13)</f>
        <v>9321604.4230000004</v>
      </c>
      <c r="E16" s="9"/>
      <c r="F16" s="10"/>
      <c r="N16" s="250"/>
    </row>
    <row r="17" spans="1:15" x14ac:dyDescent="0.3">
      <c r="A17" s="24"/>
      <c r="B17" s="24"/>
      <c r="C17" s="24"/>
      <c r="D17" s="24"/>
      <c r="E17" s="24"/>
      <c r="F17" s="24"/>
      <c r="O17" s="288"/>
    </row>
    <row r="18" spans="1:15" x14ac:dyDescent="0.3">
      <c r="A18" s="24"/>
      <c r="B18" s="24"/>
      <c r="C18" s="24"/>
      <c r="D18" s="24"/>
      <c r="E18" s="24"/>
      <c r="F18" s="24"/>
      <c r="O18" s="289"/>
    </row>
    <row r="19" spans="1:15" ht="15" thickBot="1" x14ac:dyDescent="0.35">
      <c r="A19" s="24"/>
      <c r="B19" s="24"/>
      <c r="C19" s="24"/>
      <c r="D19" s="24"/>
      <c r="E19" s="24"/>
      <c r="F19" s="24"/>
      <c r="O19" s="288"/>
    </row>
    <row r="20" spans="1:15" ht="15.6" x14ac:dyDescent="0.3">
      <c r="A20" s="24"/>
      <c r="B20" s="345" t="s">
        <v>156</v>
      </c>
      <c r="C20" s="346"/>
      <c r="D20" s="346"/>
      <c r="E20" s="347"/>
      <c r="F20" s="33"/>
      <c r="O20" s="288"/>
    </row>
    <row r="21" spans="1:15" x14ac:dyDescent="0.3">
      <c r="A21" s="24"/>
      <c r="B21" s="42"/>
      <c r="C21" s="24"/>
      <c r="D21" s="24"/>
      <c r="E21" s="43"/>
      <c r="F21" s="24"/>
      <c r="O21" s="289"/>
    </row>
    <row r="22" spans="1:15" ht="22.2" customHeight="1" x14ac:dyDescent="0.3">
      <c r="A22" s="24"/>
      <c r="B22" s="36" t="s">
        <v>141</v>
      </c>
      <c r="C22" s="15" t="s">
        <v>108</v>
      </c>
      <c r="D22" s="15" t="s">
        <v>109</v>
      </c>
      <c r="E22" s="37" t="s">
        <v>104</v>
      </c>
      <c r="F22" s="313"/>
      <c r="O22" s="289"/>
    </row>
    <row r="23" spans="1:15" ht="15.6" x14ac:dyDescent="0.3">
      <c r="A23" s="24"/>
      <c r="B23" s="5" t="s">
        <v>147</v>
      </c>
      <c r="C23" s="4"/>
      <c r="D23" s="17">
        <f>SUM(D5+D6)</f>
        <v>1282819</v>
      </c>
      <c r="E23" s="18">
        <f t="shared" ref="E23:E30" si="1">SUM(C23:D23)</f>
        <v>1282819</v>
      </c>
      <c r="F23" s="34"/>
    </row>
    <row r="24" spans="1:15" ht="15.6" x14ac:dyDescent="0.3">
      <c r="A24" s="24"/>
      <c r="B24" s="5" t="s">
        <v>149</v>
      </c>
      <c r="C24" s="4"/>
      <c r="D24" s="17">
        <f>SUM(D7)</f>
        <v>0</v>
      </c>
      <c r="E24" s="18">
        <f t="shared" si="1"/>
        <v>0</v>
      </c>
      <c r="F24" s="34"/>
      <c r="N24" s="344"/>
      <c r="O24" s="344"/>
    </row>
    <row r="25" spans="1:15" ht="15.75" customHeight="1" x14ac:dyDescent="0.3">
      <c r="A25" s="24"/>
      <c r="B25" s="5"/>
      <c r="C25" s="4"/>
      <c r="D25" s="290"/>
      <c r="E25" s="291"/>
      <c r="F25" s="34"/>
      <c r="N25" s="344"/>
      <c r="O25" s="344"/>
    </row>
    <row r="26" spans="1:15" ht="16.2" thickBot="1" x14ac:dyDescent="0.35">
      <c r="A26" s="24"/>
      <c r="B26" s="5" t="s">
        <v>151</v>
      </c>
      <c r="C26" s="19">
        <f>SUM(D11)</f>
        <v>3283915.7115000002</v>
      </c>
      <c r="D26" s="19">
        <f>SUM(D10)</f>
        <v>3283915.7115000002</v>
      </c>
      <c r="E26" s="21">
        <f t="shared" si="1"/>
        <v>6567831.4230000004</v>
      </c>
      <c r="F26" s="35"/>
      <c r="N26" s="344"/>
      <c r="O26" s="344"/>
    </row>
    <row r="27" spans="1:15" ht="15.6" x14ac:dyDescent="0.3">
      <c r="A27" s="24"/>
      <c r="B27" s="5" t="s">
        <v>157</v>
      </c>
      <c r="C27" s="281">
        <f>SUM('B - Operating Budget'!B35)</f>
        <v>1000</v>
      </c>
      <c r="D27" s="281">
        <f>SUM('B - Operating Budget'!C35)</f>
        <v>1000</v>
      </c>
      <c r="E27" s="282"/>
      <c r="F27" s="35"/>
      <c r="N27" s="344"/>
      <c r="O27" s="344"/>
    </row>
    <row r="28" spans="1:15" ht="16.2" thickBot="1" x14ac:dyDescent="0.35">
      <c r="A28" s="24"/>
      <c r="B28" s="5" t="s">
        <v>158</v>
      </c>
      <c r="C28" s="19">
        <f>SUM('B - Operating Budget'!B36)</f>
        <v>734477</v>
      </c>
      <c r="D28" s="19">
        <f>SUM('B - Operating Budget'!C36)</f>
        <v>734477</v>
      </c>
      <c r="E28" s="21"/>
      <c r="F28" s="35"/>
      <c r="N28" s="344"/>
      <c r="O28" s="344"/>
    </row>
    <row r="29" spans="1:15" ht="15.6" x14ac:dyDescent="0.3">
      <c r="A29" s="24"/>
      <c r="B29" s="5" t="s">
        <v>159</v>
      </c>
      <c r="C29" s="281">
        <f>SUM(D13)</f>
        <v>735477</v>
      </c>
      <c r="D29" s="281">
        <f>SUM(D12)</f>
        <v>735477</v>
      </c>
      <c r="E29" s="282">
        <f t="shared" si="1"/>
        <v>1470954</v>
      </c>
      <c r="F29" s="35"/>
      <c r="N29" s="344"/>
      <c r="O29" s="344"/>
    </row>
    <row r="30" spans="1:15" ht="16.2" thickBot="1" x14ac:dyDescent="0.35">
      <c r="A30" s="24"/>
      <c r="B30" s="5" t="s">
        <v>160</v>
      </c>
      <c r="C30" s="285">
        <f>SUM(C26+C29)</f>
        <v>4019392.7115000002</v>
      </c>
      <c r="D30" s="285">
        <f>SUM(D26+D29)</f>
        <v>4019392.7115000002</v>
      </c>
      <c r="E30" s="286">
        <f t="shared" si="1"/>
        <v>8038785.4230000004</v>
      </c>
      <c r="F30" s="34"/>
      <c r="N30" s="344"/>
      <c r="O30" s="344"/>
    </row>
    <row r="31" spans="1:15" ht="16.2" thickTop="1" x14ac:dyDescent="0.3">
      <c r="A31" s="24"/>
      <c r="B31" s="5"/>
      <c r="C31" s="283"/>
      <c r="D31" s="283"/>
      <c r="E31" s="284"/>
      <c r="F31" s="35"/>
      <c r="N31" s="344"/>
      <c r="O31" s="344"/>
    </row>
    <row r="32" spans="1:15" ht="16.2" thickBot="1" x14ac:dyDescent="0.35">
      <c r="A32" s="24"/>
      <c r="B32" s="6" t="s">
        <v>104</v>
      </c>
      <c r="C32" s="19">
        <f>SUM(C30)</f>
        <v>4019392.7115000002</v>
      </c>
      <c r="D32" s="19">
        <f>SUM(D23:D25)+D30</f>
        <v>5302211.7115000002</v>
      </c>
      <c r="E32" s="21">
        <f>SUM(C32+D32)</f>
        <v>9321604.4230000004</v>
      </c>
      <c r="F32" s="35"/>
      <c r="N32" s="344"/>
      <c r="O32" s="344"/>
    </row>
    <row r="33" spans="14:15" x14ac:dyDescent="0.3">
      <c r="N33" s="344"/>
      <c r="O33" s="344"/>
    </row>
    <row r="34" spans="14:15" x14ac:dyDescent="0.3">
      <c r="N34" s="344"/>
      <c r="O34" s="344"/>
    </row>
    <row r="42" spans="14:15" x14ac:dyDescent="0.3">
      <c r="N42" s="25"/>
    </row>
  </sheetData>
  <sheetProtection algorithmName="SHA-512" hashValue="KY1iaAJNi+QQuqP5+W7BfdBal4+ESE2y7P3AA+LrwQJrE7RXDgIsOT1JxCuq/ksyLHlD8uot0SIbDzi6ZGW4tA==" saltValue="zUn/LiSGxFRov8e7rhKHCg==" spinCount="100000" sheet="1" objects="1" scenarios="1"/>
  <mergeCells count="4">
    <mergeCell ref="N24:O34"/>
    <mergeCell ref="B20:E20"/>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A3" sqref="A3"/>
    </sheetView>
  </sheetViews>
  <sheetFormatPr defaultColWidth="8.77734375" defaultRowHeight="13.8" x14ac:dyDescent="0.25"/>
  <cols>
    <col min="1" max="1" width="28.44140625" style="24" customWidth="1"/>
    <col min="2" max="2" width="14.44140625" style="107" customWidth="1"/>
    <col min="3" max="3" width="23.5546875" style="24" customWidth="1"/>
    <col min="4" max="7" width="16.77734375" style="24" customWidth="1"/>
    <col min="8" max="16384" width="8.77734375" style="24"/>
  </cols>
  <sheetData>
    <row r="1" spans="1:16" ht="27.6" x14ac:dyDescent="0.25">
      <c r="A1" s="44" t="s">
        <v>0</v>
      </c>
      <c r="B1" s="316" t="str">
        <f>'A-Contracts-Partnerships Matrix'!B1</f>
        <v>MINNESOTA</v>
      </c>
      <c r="C1" s="39"/>
      <c r="D1" s="39"/>
      <c r="E1" s="39"/>
      <c r="F1" s="40" t="s">
        <v>2</v>
      </c>
      <c r="G1" s="56" t="str">
        <f>'A-Contracts-Partnerships Matrix'!J1</f>
        <v>FY2025</v>
      </c>
    </row>
    <row r="2" spans="1:16" ht="16.2" thickBot="1" x14ac:dyDescent="0.35">
      <c r="A2" s="318" t="s">
        <v>161</v>
      </c>
      <c r="B2" s="319"/>
      <c r="C2" s="319"/>
      <c r="D2" s="319"/>
      <c r="E2" s="319"/>
      <c r="F2" s="319"/>
      <c r="G2" s="329"/>
    </row>
    <row r="3" spans="1:16" x14ac:dyDescent="0.25">
      <c r="A3" s="364" t="s">
        <v>162</v>
      </c>
      <c r="B3" s="365"/>
      <c r="C3" s="365"/>
      <c r="D3" s="365"/>
      <c r="E3" s="365"/>
      <c r="F3" s="365"/>
      <c r="G3" s="366"/>
    </row>
    <row r="4" spans="1:16" ht="18.600000000000001" customHeight="1" x14ac:dyDescent="0.3">
      <c r="A4" s="367" t="s">
        <v>163</v>
      </c>
      <c r="B4" s="308"/>
      <c r="C4" s="308"/>
      <c r="D4" s="308"/>
      <c r="E4" s="308"/>
      <c r="F4" s="308"/>
      <c r="G4" s="309"/>
    </row>
    <row r="5" spans="1:16" ht="18" customHeight="1" thickBot="1" x14ac:dyDescent="0.35">
      <c r="A5" s="307"/>
      <c r="B5" s="308"/>
      <c r="C5" s="308"/>
      <c r="D5" s="308"/>
      <c r="E5" s="308"/>
      <c r="F5" s="308"/>
      <c r="G5" s="309"/>
    </row>
    <row r="6" spans="1:16" ht="18" customHeight="1" thickBot="1" x14ac:dyDescent="0.35">
      <c r="A6" s="248" t="s">
        <v>60</v>
      </c>
      <c r="B6" s="157">
        <f>COUNT(B9:B107)+COUNTIF(B9:B107,"X")</f>
        <v>12</v>
      </c>
      <c r="C6" s="186"/>
      <c r="D6" s="249">
        <f t="shared" ref="D6:F6" si="0">SUM(D9:D107)</f>
        <v>344384</v>
      </c>
      <c r="E6" s="249">
        <f t="shared" si="0"/>
        <v>2078706</v>
      </c>
      <c r="F6" s="249">
        <f t="shared" si="0"/>
        <v>62838</v>
      </c>
      <c r="G6" s="249">
        <f>SUM(G9:G107)</f>
        <v>2485928</v>
      </c>
    </row>
    <row r="7" spans="1:16" ht="18" customHeight="1" x14ac:dyDescent="0.3">
      <c r="A7" s="307"/>
      <c r="B7" s="308"/>
      <c r="C7" s="308"/>
      <c r="D7" s="308"/>
      <c r="E7" s="308"/>
      <c r="F7" s="308"/>
      <c r="G7" s="309"/>
    </row>
    <row r="8" spans="1:16" ht="55.2" x14ac:dyDescent="0.25">
      <c r="A8" s="153" t="s">
        <v>164</v>
      </c>
      <c r="B8" s="154" t="s">
        <v>165</v>
      </c>
      <c r="C8" s="154" t="s">
        <v>166</v>
      </c>
      <c r="D8" s="154" t="s">
        <v>167</v>
      </c>
      <c r="E8" s="154" t="s">
        <v>168</v>
      </c>
      <c r="F8" s="154" t="s">
        <v>169</v>
      </c>
      <c r="G8" s="155" t="s">
        <v>170</v>
      </c>
      <c r="H8" s="73"/>
      <c r="I8" s="73"/>
      <c r="J8" s="73"/>
      <c r="K8" s="73"/>
      <c r="L8" s="73"/>
      <c r="M8" s="73"/>
      <c r="N8" s="73"/>
      <c r="O8" s="73"/>
      <c r="P8" s="73"/>
    </row>
    <row r="9" spans="1:16" ht="27.6" x14ac:dyDescent="0.25">
      <c r="A9" s="108" t="s">
        <v>171</v>
      </c>
      <c r="B9" s="276"/>
      <c r="C9" s="110"/>
      <c r="D9" s="277">
        <v>344384</v>
      </c>
      <c r="E9" s="277"/>
      <c r="F9" s="277"/>
      <c r="G9" s="278">
        <f>SUM(D9:F9)</f>
        <v>344384</v>
      </c>
    </row>
    <row r="10" spans="1:16" x14ac:dyDescent="0.25">
      <c r="A10" s="79" t="s">
        <v>172</v>
      </c>
      <c r="B10" s="276"/>
      <c r="C10" s="110"/>
      <c r="D10" s="110"/>
      <c r="E10" s="110">
        <v>14050</v>
      </c>
      <c r="F10" s="110">
        <v>9000</v>
      </c>
      <c r="G10" s="278">
        <f t="shared" ref="G10:G107" si="1">SUM(D10:F10)</f>
        <v>23050</v>
      </c>
    </row>
    <row r="11" spans="1:16" x14ac:dyDescent="0.25">
      <c r="A11" s="108" t="s">
        <v>173</v>
      </c>
      <c r="B11" s="276"/>
      <c r="C11" s="110"/>
      <c r="D11" s="277"/>
      <c r="E11" s="277">
        <v>57500</v>
      </c>
      <c r="F11" s="277">
        <v>10000</v>
      </c>
      <c r="G11" s="278">
        <f t="shared" si="1"/>
        <v>67500</v>
      </c>
    </row>
    <row r="12" spans="1:16" x14ac:dyDescent="0.25">
      <c r="A12" s="108" t="s">
        <v>90</v>
      </c>
      <c r="B12" s="276"/>
      <c r="C12" s="110"/>
      <c r="D12" s="277"/>
      <c r="E12" s="277">
        <v>2004956</v>
      </c>
      <c r="F12" s="277">
        <v>42838</v>
      </c>
      <c r="G12" s="278">
        <f t="shared" si="1"/>
        <v>2047794</v>
      </c>
    </row>
    <row r="13" spans="1:16" x14ac:dyDescent="0.25">
      <c r="A13" s="108" t="s">
        <v>174</v>
      </c>
      <c r="B13" s="276"/>
      <c r="C13" s="110"/>
      <c r="D13" s="277"/>
      <c r="E13" s="277">
        <v>2200</v>
      </c>
      <c r="F13" s="277">
        <v>1000</v>
      </c>
      <c r="G13" s="278">
        <f t="shared" si="1"/>
        <v>3200</v>
      </c>
    </row>
    <row r="14" spans="1:16" x14ac:dyDescent="0.25">
      <c r="A14" s="108" t="s">
        <v>175</v>
      </c>
      <c r="B14" s="276" t="s">
        <v>176</v>
      </c>
      <c r="C14" s="110" t="s">
        <v>177</v>
      </c>
      <c r="D14" s="277"/>
      <c r="E14" s="277"/>
      <c r="F14" s="277"/>
      <c r="G14" s="278">
        <f t="shared" si="1"/>
        <v>0</v>
      </c>
    </row>
    <row r="15" spans="1:16" x14ac:dyDescent="0.25">
      <c r="A15" s="108" t="s">
        <v>178</v>
      </c>
      <c r="B15" s="276" t="s">
        <v>176</v>
      </c>
      <c r="C15" s="110" t="s">
        <v>177</v>
      </c>
      <c r="D15" s="277"/>
      <c r="E15" s="277"/>
      <c r="F15" s="277"/>
      <c r="G15" s="278">
        <f t="shared" si="1"/>
        <v>0</v>
      </c>
    </row>
    <row r="16" spans="1:16" x14ac:dyDescent="0.25">
      <c r="A16" s="108" t="s">
        <v>179</v>
      </c>
      <c r="B16" s="276" t="s">
        <v>176</v>
      </c>
      <c r="C16" s="110" t="s">
        <v>180</v>
      </c>
      <c r="D16" s="277"/>
      <c r="E16" s="277"/>
      <c r="F16" s="277"/>
      <c r="G16" s="278">
        <f t="shared" si="1"/>
        <v>0</v>
      </c>
    </row>
    <row r="17" spans="1:7" x14ac:dyDescent="0.25">
      <c r="A17" s="108" t="s">
        <v>181</v>
      </c>
      <c r="B17" s="276" t="s">
        <v>176</v>
      </c>
      <c r="C17" s="110" t="s">
        <v>177</v>
      </c>
      <c r="D17" s="277"/>
      <c r="E17" s="277"/>
      <c r="F17" s="277"/>
      <c r="G17" s="278">
        <f t="shared" si="1"/>
        <v>0</v>
      </c>
    </row>
    <row r="18" spans="1:7" x14ac:dyDescent="0.25">
      <c r="A18" s="108" t="s">
        <v>182</v>
      </c>
      <c r="B18" s="276" t="s">
        <v>176</v>
      </c>
      <c r="C18" s="110" t="s">
        <v>180</v>
      </c>
      <c r="D18" s="277"/>
      <c r="E18" s="277"/>
      <c r="F18" s="277"/>
      <c r="G18" s="278">
        <f t="shared" si="1"/>
        <v>0</v>
      </c>
    </row>
    <row r="19" spans="1:7" x14ac:dyDescent="0.25">
      <c r="A19" s="108" t="s">
        <v>183</v>
      </c>
      <c r="B19" s="276" t="s">
        <v>176</v>
      </c>
      <c r="C19" s="110" t="s">
        <v>177</v>
      </c>
      <c r="D19" s="277"/>
      <c r="E19" s="277"/>
      <c r="F19" s="277"/>
      <c r="G19" s="278">
        <f t="shared" si="1"/>
        <v>0</v>
      </c>
    </row>
    <row r="20" spans="1:7" x14ac:dyDescent="0.25">
      <c r="A20" s="108" t="s">
        <v>184</v>
      </c>
      <c r="B20" s="276" t="s">
        <v>176</v>
      </c>
      <c r="C20" s="110" t="s">
        <v>177</v>
      </c>
      <c r="D20" s="277"/>
      <c r="E20" s="277"/>
      <c r="F20" s="277"/>
      <c r="G20" s="278">
        <f t="shared" si="1"/>
        <v>0</v>
      </c>
    </row>
    <row r="21" spans="1:7" x14ac:dyDescent="0.25">
      <c r="A21" s="108" t="s">
        <v>185</v>
      </c>
      <c r="B21" s="276" t="s">
        <v>176</v>
      </c>
      <c r="C21" s="110" t="s">
        <v>177</v>
      </c>
      <c r="D21" s="277"/>
      <c r="E21" s="277"/>
      <c r="F21" s="277"/>
      <c r="G21" s="278">
        <f t="shared" si="1"/>
        <v>0</v>
      </c>
    </row>
    <row r="22" spans="1:7" x14ac:dyDescent="0.25">
      <c r="A22" s="108" t="s">
        <v>186</v>
      </c>
      <c r="B22" s="276" t="s">
        <v>176</v>
      </c>
      <c r="C22" s="110" t="s">
        <v>180</v>
      </c>
      <c r="D22" s="277"/>
      <c r="E22" s="277"/>
      <c r="F22" s="277"/>
      <c r="G22" s="278">
        <f t="shared" si="1"/>
        <v>0</v>
      </c>
    </row>
    <row r="23" spans="1:7" x14ac:dyDescent="0.25">
      <c r="A23" s="108" t="s">
        <v>187</v>
      </c>
      <c r="B23" s="276" t="s">
        <v>176</v>
      </c>
      <c r="C23" s="110" t="s">
        <v>180</v>
      </c>
      <c r="D23" s="277"/>
      <c r="E23" s="277"/>
      <c r="F23" s="277"/>
      <c r="G23" s="278">
        <f t="shared" si="1"/>
        <v>0</v>
      </c>
    </row>
    <row r="24" spans="1:7" x14ac:dyDescent="0.25">
      <c r="A24" s="108" t="s">
        <v>188</v>
      </c>
      <c r="B24" s="276" t="s">
        <v>176</v>
      </c>
      <c r="C24" s="110" t="s">
        <v>177</v>
      </c>
      <c r="D24" s="277"/>
      <c r="E24" s="277"/>
      <c r="F24" s="277"/>
      <c r="G24" s="278">
        <f t="shared" si="1"/>
        <v>0</v>
      </c>
    </row>
    <row r="25" spans="1:7" x14ac:dyDescent="0.25">
      <c r="A25" s="108" t="s">
        <v>189</v>
      </c>
      <c r="B25" s="276" t="s">
        <v>176</v>
      </c>
      <c r="C25" s="110" t="s">
        <v>177</v>
      </c>
      <c r="D25" s="277"/>
      <c r="E25" s="277"/>
      <c r="F25" s="277"/>
      <c r="G25" s="278">
        <f t="shared" si="1"/>
        <v>0</v>
      </c>
    </row>
    <row r="26" spans="1:7" x14ac:dyDescent="0.25">
      <c r="A26" s="108"/>
      <c r="B26" s="276"/>
      <c r="C26" s="110"/>
      <c r="D26" s="277"/>
      <c r="E26" s="277"/>
      <c r="F26" s="277"/>
      <c r="G26" s="278">
        <f t="shared" si="1"/>
        <v>0</v>
      </c>
    </row>
    <row r="27" spans="1:7" x14ac:dyDescent="0.25">
      <c r="A27" s="108"/>
      <c r="B27" s="276"/>
      <c r="C27" s="110"/>
      <c r="D27" s="277"/>
      <c r="E27" s="277"/>
      <c r="F27" s="277"/>
      <c r="G27" s="278">
        <f t="shared" si="1"/>
        <v>0</v>
      </c>
    </row>
    <row r="28" spans="1:7" x14ac:dyDescent="0.25">
      <c r="A28" s="108"/>
      <c r="B28" s="276"/>
      <c r="C28" s="110"/>
      <c r="D28" s="277"/>
      <c r="E28" s="277"/>
      <c r="F28" s="277"/>
      <c r="G28" s="278">
        <f t="shared" si="1"/>
        <v>0</v>
      </c>
    </row>
    <row r="29" spans="1:7" x14ac:dyDescent="0.25">
      <c r="A29" s="108"/>
      <c r="B29" s="276"/>
      <c r="C29" s="110"/>
      <c r="D29" s="277"/>
      <c r="E29" s="277"/>
      <c r="F29" s="277"/>
      <c r="G29" s="278">
        <f t="shared" si="1"/>
        <v>0</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4.4" thickBot="1" x14ac:dyDescent="0.3"/>
    <row r="117" spans="1:7" ht="14.4" thickBot="1" x14ac:dyDescent="0.3">
      <c r="A117" s="156" t="s">
        <v>60</v>
      </c>
      <c r="B117" s="157">
        <f>COUNT(B9:B107)+COUNTIF(B9:B107,"X")</f>
        <v>12</v>
      </c>
      <c r="C117" s="158"/>
      <c r="D117" s="159">
        <f>SUM(D9:D107)</f>
        <v>344384</v>
      </c>
      <c r="E117" s="159">
        <f>SUM(E9:E107)</f>
        <v>2078706</v>
      </c>
      <c r="F117" s="159">
        <f>SUM(F9:F107)</f>
        <v>62838</v>
      </c>
      <c r="G117" s="159">
        <f>SUM(G9:G107)</f>
        <v>2485928</v>
      </c>
    </row>
  </sheetData>
  <sheetProtection algorithmName="SHA-512" hashValue="uHYA8Wk1dGSEDGbMhkUDqA1BUurtzlHh+xKg8MIpko1sikSey4CkELghb1KW0azl6Hw/IfSC8TPbJUjutjnX7w==" saltValue="v7QRhqh9YeWauwqQDlFj+A==" spinCount="100000" sheet="1" objects="1" scenarios="1"/>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workbookViewId="0">
      <selection activeCell="A3" sqref="A3:Z3"/>
    </sheetView>
  </sheetViews>
  <sheetFormatPr defaultColWidth="8.77734375" defaultRowHeight="13.8" x14ac:dyDescent="0.25"/>
  <cols>
    <col min="1" max="1" width="25.77734375" style="24" customWidth="1"/>
    <col min="2" max="2" width="9.44140625" style="24" customWidth="1"/>
    <col min="3" max="14" width="7.77734375" style="24" customWidth="1"/>
    <col min="15" max="15" width="8.5546875" style="24" customWidth="1"/>
    <col min="16" max="17" width="9.21875" style="24" customWidth="1"/>
    <col min="18" max="25" width="8.5546875" style="24" customWidth="1"/>
    <col min="26" max="26" width="12.21875" style="24" customWidth="1"/>
    <col min="27" max="16384" width="8.77734375" style="24"/>
  </cols>
  <sheetData>
    <row r="1" spans="1:26" ht="27.6" x14ac:dyDescent="0.25">
      <c r="A1" s="44" t="s">
        <v>0</v>
      </c>
      <c r="B1" s="350" t="str">
        <f>'A-Contracts-Partnerships Matrix'!B1</f>
        <v>MINNESOTA</v>
      </c>
      <c r="C1" s="350"/>
      <c r="D1" s="39"/>
      <c r="E1" s="39"/>
      <c r="F1" s="39"/>
      <c r="G1" s="39"/>
      <c r="H1" s="39"/>
      <c r="I1" s="39"/>
      <c r="J1" s="39"/>
      <c r="K1" s="39"/>
      <c r="L1" s="39"/>
      <c r="M1" s="39"/>
      <c r="N1" s="39"/>
      <c r="O1" s="39"/>
      <c r="P1" s="39"/>
      <c r="Q1" s="39"/>
      <c r="R1" s="39"/>
      <c r="S1" s="39"/>
      <c r="T1" s="39"/>
      <c r="U1" s="39"/>
      <c r="V1" s="39"/>
      <c r="W1" s="39"/>
      <c r="X1" s="351" t="s">
        <v>2</v>
      </c>
      <c r="Y1" s="351"/>
      <c r="Z1" s="56" t="str">
        <f>'A-Contracts-Partnerships Matrix'!J1</f>
        <v>FY2025</v>
      </c>
    </row>
    <row r="2" spans="1:26" ht="15.6" x14ac:dyDescent="0.3">
      <c r="A2" s="318" t="s">
        <v>190</v>
      </c>
      <c r="B2" s="319"/>
      <c r="C2" s="319"/>
      <c r="D2" s="319"/>
      <c r="E2" s="319"/>
      <c r="F2" s="319"/>
      <c r="G2" s="319"/>
      <c r="H2" s="319"/>
      <c r="I2" s="319"/>
      <c r="J2" s="319"/>
      <c r="K2" s="319"/>
      <c r="L2" s="319"/>
      <c r="M2" s="319"/>
      <c r="N2" s="319"/>
      <c r="O2" s="319"/>
      <c r="P2" s="319"/>
      <c r="Q2" s="319"/>
      <c r="R2" s="319"/>
      <c r="S2" s="319"/>
      <c r="T2" s="319"/>
      <c r="U2" s="319"/>
      <c r="V2" s="319"/>
      <c r="W2" s="319"/>
      <c r="X2" s="319"/>
      <c r="Y2" s="319"/>
      <c r="Z2" s="329"/>
    </row>
    <row r="3" spans="1:26" ht="22.2" customHeight="1" x14ac:dyDescent="0.3">
      <c r="A3" s="373" t="s">
        <v>191</v>
      </c>
      <c r="B3" s="374"/>
      <c r="C3" s="374"/>
      <c r="D3" s="374"/>
      <c r="E3" s="374"/>
      <c r="F3" s="374"/>
      <c r="G3" s="374"/>
      <c r="H3" s="374"/>
      <c r="I3" s="374"/>
      <c r="J3" s="374"/>
      <c r="K3" s="374"/>
      <c r="L3" s="374"/>
      <c r="M3" s="374"/>
      <c r="N3" s="374"/>
      <c r="O3" s="374"/>
      <c r="P3" s="374"/>
      <c r="Q3" s="374"/>
      <c r="R3" s="374"/>
      <c r="S3" s="374"/>
      <c r="T3" s="374"/>
      <c r="U3" s="374"/>
      <c r="V3" s="374"/>
      <c r="W3" s="374"/>
      <c r="X3" s="374"/>
      <c r="Y3" s="374"/>
      <c r="Z3" s="375"/>
    </row>
    <row r="4" spans="1:26" ht="18" customHeight="1" x14ac:dyDescent="0.3">
      <c r="A4" s="314"/>
      <c r="B4" s="315"/>
      <c r="C4" s="315"/>
      <c r="D4" s="315"/>
      <c r="E4" s="315"/>
      <c r="F4" s="315"/>
      <c r="G4" s="315"/>
      <c r="H4" s="315"/>
      <c r="I4" s="315"/>
      <c r="J4" s="315"/>
      <c r="K4" s="315"/>
      <c r="L4" s="315"/>
      <c r="M4" s="315"/>
      <c r="N4" s="315"/>
      <c r="O4" s="315"/>
      <c r="P4" s="315"/>
      <c r="Q4" s="315"/>
      <c r="R4" s="315"/>
      <c r="S4" s="315"/>
      <c r="T4" s="315"/>
      <c r="U4" s="315"/>
      <c r="V4" s="315"/>
      <c r="W4" s="315"/>
      <c r="X4" s="315"/>
      <c r="Y4" s="315"/>
      <c r="Z4" s="315"/>
    </row>
    <row r="5" spans="1:26" ht="26.55" customHeight="1" x14ac:dyDescent="0.3">
      <c r="A5" s="194" t="s">
        <v>192</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3">
      <c r="A6" s="314"/>
      <c r="B6" s="315"/>
      <c r="C6" s="315"/>
      <c r="D6" s="315"/>
      <c r="E6" s="315"/>
      <c r="F6" s="315"/>
      <c r="G6" s="315"/>
      <c r="H6" s="315"/>
      <c r="I6" s="315"/>
      <c r="J6" s="315"/>
      <c r="K6" s="315"/>
      <c r="L6" s="315"/>
      <c r="M6" s="315"/>
      <c r="N6" s="315"/>
      <c r="O6" s="315"/>
      <c r="P6" s="315"/>
      <c r="Q6" s="315"/>
      <c r="R6" s="315"/>
      <c r="S6" s="315"/>
      <c r="T6" s="315"/>
      <c r="U6" s="315"/>
      <c r="V6" s="315"/>
      <c r="W6" s="315"/>
      <c r="X6" s="315"/>
      <c r="Y6" s="315"/>
      <c r="Z6" s="315"/>
    </row>
    <row r="7" spans="1:26" ht="28.95" customHeight="1" x14ac:dyDescent="0.25">
      <c r="A7" s="160"/>
      <c r="B7" s="352" t="s">
        <v>193</v>
      </c>
      <c r="C7" s="352"/>
      <c r="D7" s="352"/>
      <c r="E7" s="352"/>
      <c r="F7" s="352"/>
      <c r="G7" s="352"/>
      <c r="H7" s="352"/>
      <c r="I7" s="352"/>
      <c r="J7" s="352"/>
      <c r="K7" s="352"/>
      <c r="L7" s="352"/>
      <c r="M7" s="352"/>
      <c r="N7" s="352"/>
      <c r="O7" s="352"/>
      <c r="P7" s="352"/>
      <c r="Q7" s="352"/>
      <c r="R7" s="352"/>
      <c r="S7" s="352"/>
      <c r="T7" s="352"/>
      <c r="U7" s="352"/>
      <c r="V7" s="352"/>
      <c r="W7" s="352"/>
      <c r="X7" s="352"/>
      <c r="Y7" s="352"/>
      <c r="Z7" s="154" t="s">
        <v>194</v>
      </c>
    </row>
    <row r="8" spans="1:26" ht="27.6" x14ac:dyDescent="0.25">
      <c r="A8" s="161" t="s">
        <v>164</v>
      </c>
      <c r="B8" s="129" t="s">
        <v>195</v>
      </c>
      <c r="C8" s="129" t="s">
        <v>196</v>
      </c>
      <c r="D8" s="129" t="s">
        <v>197</v>
      </c>
      <c r="E8" s="129" t="s">
        <v>198</v>
      </c>
      <c r="F8" s="129" t="s">
        <v>199</v>
      </c>
      <c r="G8" s="129" t="s">
        <v>200</v>
      </c>
      <c r="H8" s="129" t="s">
        <v>201</v>
      </c>
      <c r="I8" s="129" t="s">
        <v>202</v>
      </c>
      <c r="J8" s="129" t="s">
        <v>203</v>
      </c>
      <c r="K8" s="129" t="s">
        <v>204</v>
      </c>
      <c r="L8" s="129" t="s">
        <v>205</v>
      </c>
      <c r="M8" s="129" t="s">
        <v>206</v>
      </c>
      <c r="N8" s="129" t="s">
        <v>207</v>
      </c>
      <c r="O8" s="162" t="s">
        <v>208</v>
      </c>
      <c r="P8" s="162" t="s">
        <v>209</v>
      </c>
      <c r="Q8" s="162" t="s">
        <v>210</v>
      </c>
      <c r="R8" s="162" t="s">
        <v>211</v>
      </c>
      <c r="S8" s="162" t="s">
        <v>212</v>
      </c>
      <c r="T8" s="162" t="s">
        <v>213</v>
      </c>
      <c r="U8" s="162" t="s">
        <v>214</v>
      </c>
      <c r="V8" s="162" t="s">
        <v>215</v>
      </c>
      <c r="W8" s="162" t="s">
        <v>216</v>
      </c>
      <c r="X8" s="163" t="s">
        <v>217</v>
      </c>
      <c r="Y8" s="163" t="s">
        <v>218</v>
      </c>
      <c r="Z8" s="164" t="s">
        <v>219</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4.4"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4.4" thickBot="1" x14ac:dyDescent="0.3"/>
    <row r="120" spans="1:25" ht="28.2" thickBot="1" x14ac:dyDescent="0.3">
      <c r="A120" s="170" t="s">
        <v>220</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8OkZWJHmGlQsZeoEIUqtknQDKkvgZUK+/4hdEGktcr2Mvv08vESiBvW1YWq82VbnsNT0wm68ks4lVdHiG0mR6w==" saltValue="1B4LGCLoKNWAIVafh8K/uw==" spinCount="100000" sheet="1" objects="1" scenarios="1"/>
  <mergeCells count="3">
    <mergeCell ref="B1:C1"/>
    <mergeCell ref="X1:Y1"/>
    <mergeCell ref="B7:Y7"/>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6"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workbookViewId="0">
      <selection activeCell="A3" sqref="A3"/>
    </sheetView>
  </sheetViews>
  <sheetFormatPr defaultColWidth="9.21875" defaultRowHeight="13.8" x14ac:dyDescent="0.25"/>
  <cols>
    <col min="1" max="1" width="34.21875" style="73" customWidth="1"/>
    <col min="2" max="2" width="37.5546875" style="73" customWidth="1"/>
    <col min="3" max="3" width="15.5546875" style="73" customWidth="1"/>
    <col min="4" max="4" width="21.21875" style="73" customWidth="1"/>
    <col min="5" max="5" width="19.44140625" style="24" customWidth="1"/>
    <col min="6" max="16384" width="9.21875" style="24"/>
  </cols>
  <sheetData>
    <row r="1" spans="1:5" ht="27.6" x14ac:dyDescent="0.25">
      <c r="A1" s="44" t="s">
        <v>0</v>
      </c>
      <c r="B1" s="39" t="str">
        <f>'A-Contracts-Partnerships Matrix'!B1</f>
        <v>MINNESOTA</v>
      </c>
      <c r="C1" s="40" t="s">
        <v>2</v>
      </c>
      <c r="D1" s="40"/>
      <c r="E1" s="56" t="str">
        <f>'A-Contracts-Partnerships Matrix'!J1</f>
        <v>FY2025</v>
      </c>
    </row>
    <row r="2" spans="1:5" ht="15.6" x14ac:dyDescent="0.3">
      <c r="A2" s="323" t="s">
        <v>221</v>
      </c>
      <c r="B2" s="313"/>
      <c r="C2" s="313"/>
      <c r="D2" s="313"/>
      <c r="E2" s="324"/>
    </row>
    <row r="3" spans="1:5" ht="22.2" customHeight="1" x14ac:dyDescent="0.3">
      <c r="A3" s="373" t="s">
        <v>222</v>
      </c>
      <c r="B3" s="317"/>
      <c r="C3" s="317"/>
      <c r="D3" s="317"/>
      <c r="E3" s="333"/>
    </row>
    <row r="4" spans="1:5" ht="14.4" x14ac:dyDescent="0.3">
      <c r="A4" s="69"/>
      <c r="B4" s="70" t="s">
        <v>223</v>
      </c>
      <c r="C4" s="270" t="s">
        <v>224</v>
      </c>
      <c r="D4" s="270" t="s">
        <v>225</v>
      </c>
      <c r="E4" s="71" t="s">
        <v>226</v>
      </c>
    </row>
    <row r="5" spans="1:5" x14ac:dyDescent="0.25">
      <c r="A5" s="330" t="s">
        <v>227</v>
      </c>
      <c r="B5" s="331"/>
      <c r="C5" s="331"/>
      <c r="D5" s="331"/>
      <c r="E5" s="332"/>
    </row>
    <row r="6" spans="1:5" ht="82.8" x14ac:dyDescent="0.25">
      <c r="A6" s="72" t="s">
        <v>228</v>
      </c>
      <c r="B6" s="73" t="s">
        <v>229</v>
      </c>
      <c r="C6" s="267">
        <v>100000</v>
      </c>
      <c r="D6" s="267"/>
      <c r="E6" s="272">
        <v>132000</v>
      </c>
    </row>
    <row r="7" spans="1:5" s="79" customFormat="1" ht="151.80000000000001" x14ac:dyDescent="0.25">
      <c r="A7" s="72" t="s">
        <v>230</v>
      </c>
      <c r="B7" s="73" t="s">
        <v>231</v>
      </c>
      <c r="C7" s="268" t="s">
        <v>232</v>
      </c>
      <c r="D7" s="279"/>
      <c r="E7" s="272">
        <v>132000</v>
      </c>
    </row>
    <row r="8" spans="1:5" s="79" customFormat="1" ht="27.6" x14ac:dyDescent="0.25">
      <c r="A8" s="72"/>
      <c r="B8" s="73"/>
      <c r="C8" s="268" t="s">
        <v>233</v>
      </c>
      <c r="D8" s="279"/>
      <c r="E8" s="272"/>
    </row>
    <row r="9" spans="1:5" s="79" customFormat="1" ht="27.6" x14ac:dyDescent="0.25">
      <c r="A9" s="72"/>
      <c r="B9" s="73"/>
      <c r="C9" s="268" t="s">
        <v>234</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1.4" x14ac:dyDescent="0.25">
      <c r="A12" s="72" t="s">
        <v>235</v>
      </c>
      <c r="B12" s="73" t="s">
        <v>236</v>
      </c>
      <c r="C12" s="268" t="s">
        <v>237</v>
      </c>
      <c r="D12" s="268"/>
      <c r="E12" s="273">
        <f>SUM(E7:E11)</f>
        <v>132000</v>
      </c>
    </row>
    <row r="13" spans="1:5" ht="27.6" x14ac:dyDescent="0.25">
      <c r="A13" s="72" t="s">
        <v>238</v>
      </c>
      <c r="C13" s="269">
        <v>1</v>
      </c>
      <c r="D13" s="269"/>
      <c r="E13" s="74">
        <f>E12/E6</f>
        <v>1</v>
      </c>
    </row>
    <row r="14" spans="1:5" x14ac:dyDescent="0.25">
      <c r="A14" s="330" t="s">
        <v>239</v>
      </c>
      <c r="B14" s="331"/>
      <c r="C14" s="331"/>
      <c r="D14" s="331"/>
      <c r="E14" s="332"/>
    </row>
    <row r="15" spans="1:5" x14ac:dyDescent="0.25">
      <c r="A15" s="72" t="s">
        <v>240</v>
      </c>
      <c r="C15" s="267">
        <v>6500</v>
      </c>
      <c r="D15" s="267"/>
      <c r="E15" s="272">
        <v>75000</v>
      </c>
    </row>
    <row r="16" spans="1:5" ht="27.6" x14ac:dyDescent="0.25">
      <c r="A16" s="72" t="s">
        <v>241</v>
      </c>
      <c r="C16" s="268">
        <v>0</v>
      </c>
      <c r="D16" s="268"/>
      <c r="E16" s="272">
        <v>15000</v>
      </c>
    </row>
    <row r="17" spans="1:5" ht="41.4" x14ac:dyDescent="0.25">
      <c r="A17" s="72" t="s">
        <v>242</v>
      </c>
      <c r="C17" s="268">
        <v>250</v>
      </c>
      <c r="D17" s="268"/>
      <c r="E17" s="272">
        <v>17000</v>
      </c>
    </row>
    <row r="18" spans="1:5" ht="27.6" x14ac:dyDescent="0.25">
      <c r="A18" s="72" t="s">
        <v>243</v>
      </c>
      <c r="C18" s="267">
        <v>6250</v>
      </c>
      <c r="D18" s="267"/>
      <c r="E18" s="273">
        <f>E15-(E16+E17)</f>
        <v>43000</v>
      </c>
    </row>
    <row r="19" spans="1:5" x14ac:dyDescent="0.25">
      <c r="A19" s="330" t="s">
        <v>244</v>
      </c>
      <c r="B19" s="331"/>
      <c r="C19" s="331"/>
      <c r="D19" s="331"/>
      <c r="E19" s="332"/>
    </row>
    <row r="20" spans="1:5" ht="27.6" x14ac:dyDescent="0.25">
      <c r="A20" s="72" t="s">
        <v>245</v>
      </c>
      <c r="C20" s="268">
        <v>0</v>
      </c>
      <c r="D20" s="268"/>
      <c r="E20" s="272">
        <v>0</v>
      </c>
    </row>
    <row r="21" spans="1:5" ht="27.6" x14ac:dyDescent="0.25">
      <c r="A21" s="72" t="s">
        <v>246</v>
      </c>
      <c r="C21" s="267">
        <v>2000</v>
      </c>
      <c r="D21" s="267"/>
      <c r="E21" s="272">
        <v>2000</v>
      </c>
    </row>
    <row r="22" spans="1:5" ht="27.6" x14ac:dyDescent="0.25">
      <c r="A22" s="72" t="s">
        <v>247</v>
      </c>
      <c r="C22" s="267">
        <v>2000</v>
      </c>
      <c r="D22" s="267"/>
      <c r="E22" s="273">
        <f>SUM(E20:E21)</f>
        <v>2000</v>
      </c>
    </row>
    <row r="23" spans="1:5" ht="27.6" x14ac:dyDescent="0.25">
      <c r="A23" s="72" t="s">
        <v>248</v>
      </c>
      <c r="B23" s="73" t="s">
        <v>249</v>
      </c>
      <c r="C23" s="268">
        <v>500</v>
      </c>
      <c r="D23" s="268"/>
      <c r="E23" s="272">
        <v>1000</v>
      </c>
    </row>
    <row r="24" spans="1:5" s="84" customFormat="1" x14ac:dyDescent="0.25">
      <c r="A24" s="330" t="s">
        <v>250</v>
      </c>
      <c r="B24" s="331"/>
      <c r="C24" s="331"/>
      <c r="D24" s="331"/>
      <c r="E24" s="332"/>
    </row>
    <row r="25" spans="1:5" ht="27.6" x14ac:dyDescent="0.25">
      <c r="A25" s="72" t="s">
        <v>251</v>
      </c>
      <c r="B25" s="73" t="s">
        <v>252</v>
      </c>
      <c r="C25" s="275">
        <v>2000</v>
      </c>
      <c r="D25" s="268"/>
      <c r="E25" s="272">
        <v>1496</v>
      </c>
    </row>
    <row r="26" spans="1:5" ht="28.2" thickBot="1" x14ac:dyDescent="0.3">
      <c r="A26" s="75" t="s">
        <v>253</v>
      </c>
      <c r="B26" s="76"/>
      <c r="C26" s="271">
        <v>1</v>
      </c>
      <c r="D26" s="271"/>
      <c r="E26" s="77">
        <f>E25/E22</f>
        <v>0.748</v>
      </c>
    </row>
  </sheetData>
  <sheetProtection algorithmName="SHA-512" hashValue="3x7UcMA5iAOhjNForgy6X/SUUUkHCtsgSQVq1ARPE+NF1oO5fBRrjnRITGKHF4b0dHXn29CQJ/s60UkOsB7Zpg==" saltValue="pEf5pC1WGbmzw8fyo+MlRA==" spinCount="100000" sheet="1" objects="1" scenarios="1"/>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tabSelected="1" zoomScale="98" zoomScaleNormal="98" workbookViewId="0">
      <pane xSplit="1" topLeftCell="B1" activePane="topRight" state="frozen"/>
      <selection pane="topRight" activeCell="E19" sqref="E19"/>
    </sheetView>
  </sheetViews>
  <sheetFormatPr defaultColWidth="8.77734375" defaultRowHeight="13.8" x14ac:dyDescent="0.25"/>
  <cols>
    <col min="1" max="1" width="21.21875" style="73" customWidth="1"/>
    <col min="2" max="10" width="30.77734375" style="73" customWidth="1"/>
    <col min="11" max="12" width="20.77734375" style="73" customWidth="1"/>
    <col min="13" max="18" width="18.77734375" style="73" customWidth="1"/>
    <col min="19" max="19" width="20.77734375" style="73" customWidth="1"/>
    <col min="20" max="20" width="13.21875" style="73" customWidth="1"/>
    <col min="21" max="21" width="11.21875" style="178" customWidth="1"/>
    <col min="22" max="22" width="12" style="179" customWidth="1"/>
    <col min="23" max="23" width="12.5546875" style="180" customWidth="1"/>
    <col min="24" max="25" width="14.44140625" style="179" customWidth="1"/>
    <col min="26" max="26" width="13.21875" style="178" customWidth="1"/>
    <col min="27" max="27" width="19.77734375" style="178" customWidth="1"/>
    <col min="28" max="28" width="25.21875" style="73" customWidth="1"/>
    <col min="29" max="29" width="15.44140625" style="181" customWidth="1"/>
    <col min="30" max="30" width="19.21875" style="181" customWidth="1"/>
    <col min="31" max="31" width="19.77734375" style="24" customWidth="1"/>
    <col min="32" max="32" width="21.77734375" style="298" customWidth="1"/>
    <col min="33" max="16384" width="8.77734375" style="24"/>
  </cols>
  <sheetData>
    <row r="1" spans="1:32" ht="27.6" x14ac:dyDescent="0.25">
      <c r="A1" s="44" t="s">
        <v>0</v>
      </c>
      <c r="B1" s="39" t="str">
        <f>'A-Contracts-Partnerships Matrix'!B1</f>
        <v>MINNESOTA</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95" customHeight="1" x14ac:dyDescent="0.25">
      <c r="A2" s="376" t="s">
        <v>254</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200"/>
    </row>
    <row r="3" spans="1:32" ht="19.2" customHeight="1" x14ac:dyDescent="0.25">
      <c r="A3" s="334"/>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200"/>
    </row>
    <row r="4" spans="1:32" ht="14.4" x14ac:dyDescent="0.3">
      <c r="A4" s="317"/>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1.4" x14ac:dyDescent="0.25">
      <c r="A5" s="200"/>
      <c r="S5" s="196" t="s">
        <v>255</v>
      </c>
      <c r="T5" s="196">
        <f>SUM(T12:T83)</f>
        <v>0</v>
      </c>
      <c r="U5" s="197"/>
      <c r="V5" s="198"/>
      <c r="W5" s="199"/>
      <c r="X5" s="198"/>
      <c r="Y5" s="197">
        <f>SUM(Y12:Y83)</f>
        <v>0</v>
      </c>
      <c r="Z5" s="197">
        <f>SUM(Z12:Z83)</f>
        <v>0</v>
      </c>
      <c r="AA5" s="197">
        <f>SUM(AA12:AA83)</f>
        <v>0</v>
      </c>
      <c r="AB5" s="196"/>
      <c r="AC5" s="197">
        <f t="shared" ref="AC5:AE5" si="0">SUM(AC12:AC83)</f>
        <v>0</v>
      </c>
      <c r="AD5" s="197">
        <f t="shared" si="0"/>
        <v>0</v>
      </c>
      <c r="AE5" s="294">
        <f t="shared" si="0"/>
        <v>0</v>
      </c>
      <c r="AF5" s="300"/>
    </row>
    <row r="6" spans="1:32" x14ac:dyDescent="0.25">
      <c r="A6" s="200"/>
      <c r="S6" s="301"/>
      <c r="T6" s="200"/>
      <c r="U6" s="201"/>
      <c r="V6" s="202"/>
      <c r="W6" s="203"/>
      <c r="X6" s="202"/>
      <c r="Y6" s="202"/>
      <c r="Z6" s="201"/>
      <c r="AA6" s="201"/>
      <c r="AB6" s="200"/>
      <c r="AC6" s="204"/>
      <c r="AD6" s="204"/>
      <c r="AE6" s="84"/>
      <c r="AF6" s="300"/>
    </row>
    <row r="7" spans="1:32" ht="27.6" x14ac:dyDescent="0.25">
      <c r="A7" s="200"/>
      <c r="S7" s="206" t="s">
        <v>256</v>
      </c>
      <c r="T7" s="206">
        <f>SUMIF($X$12:$X$83,100%,T$12:T$83)</f>
        <v>0</v>
      </c>
      <c r="U7" s="207"/>
      <c r="V7" s="208"/>
      <c r="W7" s="209"/>
      <c r="X7" s="208"/>
      <c r="Y7" s="207">
        <f>SUMIF($X$12:$X$83,100%,Y$12:Y$83)</f>
        <v>0</v>
      </c>
      <c r="Z7" s="207">
        <f>SUMIF($X$12:$X$83,100%,Z$12:Z$83)</f>
        <v>0</v>
      </c>
      <c r="AA7" s="207">
        <f>SUMIF($X$12:$X$83,100%,AA$12:AA$83)</f>
        <v>0</v>
      </c>
      <c r="AB7" s="206"/>
      <c r="AC7" s="207">
        <f t="shared" ref="AC7:AE7" si="1">SUMIF($X$12:$X$83,100%,AC$12:AC$83)</f>
        <v>0</v>
      </c>
      <c r="AD7" s="207">
        <f t="shared" si="1"/>
        <v>0</v>
      </c>
      <c r="AE7" s="210">
        <f t="shared" si="1"/>
        <v>0</v>
      </c>
      <c r="AF7" s="300"/>
    </row>
    <row r="8" spans="1:32" ht="22.2" customHeight="1" thickBot="1" x14ac:dyDescent="0.3">
      <c r="A8" s="200"/>
      <c r="S8" s="212" t="s">
        <v>257</v>
      </c>
      <c r="T8" s="212">
        <f>SUMIF($X$12:$X$83,50%,T$12:T$83)</f>
        <v>0</v>
      </c>
      <c r="U8" s="213"/>
      <c r="V8" s="214"/>
      <c r="W8" s="215"/>
      <c r="X8" s="214"/>
      <c r="Y8" s="213">
        <f>SUMIF($X$12:$X$83,50%,Y$12:Y$83)</f>
        <v>0</v>
      </c>
      <c r="Z8" s="213">
        <f>SUMIF($X$12:$X$83,50%,Z$12:Z$83)</f>
        <v>0</v>
      </c>
      <c r="AA8" s="213">
        <f>SUMIF($X$12:$X$83,50%,AA$12:AA$83)</f>
        <v>0</v>
      </c>
      <c r="AB8" s="212"/>
      <c r="AC8" s="213">
        <f>SUMIF($X$12:$X$83,50%,AC$12:AC$83)</f>
        <v>0</v>
      </c>
      <c r="AD8" s="213">
        <f>SUMIF($X$12:$X$83,50%,AD$12:AD$83)</f>
        <v>0</v>
      </c>
      <c r="AE8" s="295">
        <f>SUMIF($X$12:$X$83,50%,AE$12:AE$83)</f>
        <v>0</v>
      </c>
      <c r="AF8" s="300"/>
    </row>
    <row r="9" spans="1:32" ht="13.2" customHeight="1" thickBot="1" x14ac:dyDescent="0.3">
      <c r="A9" s="200"/>
      <c r="T9" s="200"/>
      <c r="U9" s="258"/>
      <c r="V9" s="259"/>
      <c r="W9" s="260"/>
      <c r="X9" s="259"/>
      <c r="Y9" s="259"/>
      <c r="Z9" s="258"/>
      <c r="AA9" s="258"/>
      <c r="AB9" s="200"/>
      <c r="AC9" s="258"/>
      <c r="AD9" s="258"/>
      <c r="AE9" s="258"/>
      <c r="AF9" s="300"/>
    </row>
    <row r="10" spans="1:32" ht="19.95" customHeight="1" thickBot="1" x14ac:dyDescent="0.35">
      <c r="A10" s="353" t="s">
        <v>258</v>
      </c>
      <c r="B10" s="354"/>
      <c r="C10" s="354"/>
      <c r="D10" s="354"/>
      <c r="E10" s="354"/>
      <c r="F10" s="354"/>
      <c r="G10" s="354"/>
      <c r="H10" s="354"/>
      <c r="I10" s="354"/>
      <c r="J10" s="354"/>
      <c r="K10" s="354"/>
      <c r="L10" s="354"/>
      <c r="M10" s="354"/>
      <c r="N10" s="354"/>
      <c r="O10" s="354"/>
      <c r="P10" s="354"/>
      <c r="Q10" s="354"/>
      <c r="R10" s="354"/>
      <c r="S10" s="355"/>
      <c r="T10" s="356" t="s">
        <v>259</v>
      </c>
      <c r="U10" s="357"/>
      <c r="V10" s="357"/>
      <c r="W10" s="357"/>
      <c r="X10" s="357"/>
      <c r="Y10" s="357"/>
      <c r="Z10" s="357"/>
      <c r="AA10" s="357"/>
      <c r="AB10" s="357"/>
      <c r="AC10" s="357"/>
      <c r="AD10" s="357"/>
      <c r="AE10" s="357"/>
      <c r="AF10" s="300"/>
    </row>
    <row r="11" spans="1:32" ht="159" customHeight="1" x14ac:dyDescent="0.25">
      <c r="A11" s="253" t="s">
        <v>260</v>
      </c>
      <c r="B11" s="254" t="s">
        <v>261</v>
      </c>
      <c r="C11" s="292" t="s">
        <v>262</v>
      </c>
      <c r="D11" s="292" t="s">
        <v>263</v>
      </c>
      <c r="E11" s="292" t="s">
        <v>264</v>
      </c>
      <c r="F11" s="292" t="s">
        <v>265</v>
      </c>
      <c r="G11" s="292" t="s">
        <v>266</v>
      </c>
      <c r="H11" s="292" t="s">
        <v>267</v>
      </c>
      <c r="I11" s="292" t="s">
        <v>268</v>
      </c>
      <c r="J11" s="292" t="s">
        <v>269</v>
      </c>
      <c r="K11" s="254" t="s">
        <v>270</v>
      </c>
      <c r="L11" s="292" t="s">
        <v>271</v>
      </c>
      <c r="M11" s="254" t="s">
        <v>272</v>
      </c>
      <c r="N11" s="254" t="s">
        <v>273</v>
      </c>
      <c r="O11" s="293" t="s">
        <v>274</v>
      </c>
      <c r="P11" s="293" t="s">
        <v>275</v>
      </c>
      <c r="Q11" s="262" t="s">
        <v>276</v>
      </c>
      <c r="R11" s="255" t="s">
        <v>277</v>
      </c>
      <c r="S11" s="266" t="s">
        <v>278</v>
      </c>
      <c r="T11" s="251" t="s">
        <v>279</v>
      </c>
      <c r="U11" s="216" t="s">
        <v>280</v>
      </c>
      <c r="V11" s="217" t="s">
        <v>281</v>
      </c>
      <c r="W11" s="218" t="s">
        <v>282</v>
      </c>
      <c r="X11" s="217" t="s">
        <v>283</v>
      </c>
      <c r="Y11" s="217" t="s">
        <v>284</v>
      </c>
      <c r="Z11" s="216" t="s">
        <v>285</v>
      </c>
      <c r="AA11" s="216" t="s">
        <v>286</v>
      </c>
      <c r="AB11" s="216" t="s">
        <v>287</v>
      </c>
      <c r="AC11" s="216" t="s">
        <v>288</v>
      </c>
      <c r="AD11" s="216" t="s">
        <v>289</v>
      </c>
      <c r="AE11" s="296" t="s">
        <v>290</v>
      </c>
    </row>
    <row r="12" spans="1:32" x14ac:dyDescent="0.25">
      <c r="A12" s="108"/>
      <c r="B12" s="109"/>
      <c r="C12" s="109"/>
      <c r="D12" s="109"/>
      <c r="E12" s="109"/>
      <c r="F12" s="109"/>
      <c r="G12" s="109"/>
      <c r="H12" s="109"/>
      <c r="I12" s="109"/>
      <c r="J12" s="109"/>
      <c r="K12" s="109"/>
      <c r="L12" s="109"/>
      <c r="M12" s="109"/>
      <c r="N12" s="109"/>
      <c r="O12" s="263"/>
      <c r="P12" s="263"/>
      <c r="Q12" s="263"/>
      <c r="R12" s="263"/>
      <c r="S12" s="256"/>
      <c r="T12" s="252"/>
      <c r="U12" s="219"/>
      <c r="V12" s="220"/>
      <c r="W12" s="221"/>
      <c r="X12" s="220"/>
      <c r="Y12" s="222">
        <f t="shared" ref="Y12:Y14" si="2">SUM(T12*U12*W12)</f>
        <v>0</v>
      </c>
      <c r="Z12" s="222">
        <f>SUM(Y12*V12)</f>
        <v>0</v>
      </c>
      <c r="AA12" s="222">
        <f>SUM(Z12*X12)</f>
        <v>0</v>
      </c>
      <c r="AB12" s="109"/>
      <c r="AC12" s="223"/>
      <c r="AD12" s="223"/>
      <c r="AE12" s="224">
        <f>SUM(AA12+AC12+AD12)</f>
        <v>0</v>
      </c>
    </row>
    <row r="13" spans="1:32" x14ac:dyDescent="0.25">
      <c r="A13" s="108"/>
      <c r="B13" s="109"/>
      <c r="C13" s="109"/>
      <c r="D13" s="109"/>
      <c r="E13" s="109"/>
      <c r="F13" s="109"/>
      <c r="G13" s="109"/>
      <c r="H13" s="109"/>
      <c r="I13" s="109"/>
      <c r="J13" s="109"/>
      <c r="K13" s="109"/>
      <c r="L13" s="109"/>
      <c r="M13" s="109"/>
      <c r="N13" s="109"/>
      <c r="O13" s="263"/>
      <c r="P13" s="263"/>
      <c r="Q13" s="263"/>
      <c r="R13" s="263"/>
      <c r="S13" s="256"/>
      <c r="T13" s="252"/>
      <c r="U13" s="219"/>
      <c r="V13" s="220"/>
      <c r="W13" s="221"/>
      <c r="X13" s="220"/>
      <c r="Y13" s="222">
        <f t="shared" si="2"/>
        <v>0</v>
      </c>
      <c r="Z13" s="222">
        <f t="shared" ref="Z13:Z76" si="3">SUM(Y13*V13)</f>
        <v>0</v>
      </c>
      <c r="AA13" s="222">
        <f t="shared" ref="AA13:AA76" si="4">SUM(Z13*X13)</f>
        <v>0</v>
      </c>
      <c r="AB13" s="109"/>
      <c r="AC13" s="223"/>
      <c r="AD13" s="223"/>
      <c r="AE13" s="224">
        <f t="shared" ref="AE13:AE76" si="5">SUM(AA13+AC13+AD13)</f>
        <v>0</v>
      </c>
    </row>
    <row r="14" spans="1:32" x14ac:dyDescent="0.25">
      <c r="A14" s="108"/>
      <c r="B14" s="109"/>
      <c r="C14" s="109"/>
      <c r="D14" s="109"/>
      <c r="E14" s="109"/>
      <c r="F14" s="109"/>
      <c r="G14" s="109"/>
      <c r="H14" s="109"/>
      <c r="I14" s="109"/>
      <c r="J14" s="109"/>
      <c r="K14" s="109"/>
      <c r="L14" s="109"/>
      <c r="M14" s="109"/>
      <c r="N14" s="109"/>
      <c r="O14" s="263"/>
      <c r="P14" s="263"/>
      <c r="Q14" s="263"/>
      <c r="R14" s="263"/>
      <c r="S14" s="256"/>
      <c r="T14" s="252"/>
      <c r="U14" s="219"/>
      <c r="V14" s="220"/>
      <c r="W14" s="221"/>
      <c r="X14" s="220"/>
      <c r="Y14" s="222">
        <f t="shared" si="2"/>
        <v>0</v>
      </c>
      <c r="Z14" s="222">
        <f t="shared" si="3"/>
        <v>0</v>
      </c>
      <c r="AA14" s="222">
        <f t="shared" si="4"/>
        <v>0</v>
      </c>
      <c r="AB14" s="109"/>
      <c r="AC14" s="223"/>
      <c r="AD14" s="223"/>
      <c r="AE14" s="224">
        <f t="shared" si="5"/>
        <v>0</v>
      </c>
    </row>
    <row r="15" spans="1:32" x14ac:dyDescent="0.25">
      <c r="A15" s="108"/>
      <c r="B15" s="109"/>
      <c r="C15" s="109"/>
      <c r="D15" s="109"/>
      <c r="E15" s="109"/>
      <c r="F15" s="109"/>
      <c r="G15" s="109"/>
      <c r="H15" s="109"/>
      <c r="I15" s="109"/>
      <c r="J15" s="109"/>
      <c r="K15" s="109"/>
      <c r="L15" s="109"/>
      <c r="M15" s="109"/>
      <c r="N15" s="109"/>
      <c r="O15" s="263"/>
      <c r="P15" s="263"/>
      <c r="Q15" s="263"/>
      <c r="R15" s="263"/>
      <c r="S15" s="256"/>
      <c r="T15" s="252"/>
      <c r="U15" s="219"/>
      <c r="V15" s="220"/>
      <c r="W15" s="221"/>
      <c r="X15" s="220"/>
      <c r="Y15" s="222">
        <f>SUM(T15*U15*W15)</f>
        <v>0</v>
      </c>
      <c r="Z15" s="222">
        <f t="shared" si="3"/>
        <v>0</v>
      </c>
      <c r="AA15" s="222">
        <f t="shared" si="4"/>
        <v>0</v>
      </c>
      <c r="AB15" s="109"/>
      <c r="AC15" s="223"/>
      <c r="AD15" s="223"/>
      <c r="AE15" s="224">
        <f t="shared" si="5"/>
        <v>0</v>
      </c>
    </row>
    <row r="16" spans="1:32" x14ac:dyDescent="0.25">
      <c r="A16" s="108"/>
      <c r="B16" s="109"/>
      <c r="C16" s="109"/>
      <c r="D16" s="109"/>
      <c r="E16" s="109"/>
      <c r="F16" s="109"/>
      <c r="G16" s="109"/>
      <c r="H16" s="109"/>
      <c r="I16" s="109"/>
      <c r="J16" s="109"/>
      <c r="K16" s="109"/>
      <c r="L16" s="109"/>
      <c r="M16" s="109"/>
      <c r="N16" s="109"/>
      <c r="O16" s="263"/>
      <c r="P16" s="263"/>
      <c r="Q16" s="263"/>
      <c r="R16" s="263"/>
      <c r="S16" s="256"/>
      <c r="T16" s="252"/>
      <c r="U16" s="219"/>
      <c r="V16" s="220"/>
      <c r="W16" s="221"/>
      <c r="X16" s="220"/>
      <c r="Y16" s="222">
        <f t="shared" ref="Y16:Y79" si="6">SUM(T16*U16*W16)</f>
        <v>0</v>
      </c>
      <c r="Z16" s="222">
        <f t="shared" si="3"/>
        <v>0</v>
      </c>
      <c r="AA16" s="222">
        <f t="shared" si="4"/>
        <v>0</v>
      </c>
      <c r="AB16" s="109"/>
      <c r="AC16" s="223"/>
      <c r="AD16" s="223"/>
      <c r="AE16" s="224">
        <f t="shared" si="5"/>
        <v>0</v>
      </c>
    </row>
    <row r="17" spans="1:31" x14ac:dyDescent="0.25">
      <c r="A17" s="108"/>
      <c r="B17" s="109"/>
      <c r="C17" s="109"/>
      <c r="D17" s="109"/>
      <c r="E17" s="109"/>
      <c r="F17" s="109"/>
      <c r="G17" s="109"/>
      <c r="H17" s="109"/>
      <c r="I17" s="109"/>
      <c r="J17" s="109"/>
      <c r="K17" s="109"/>
      <c r="L17" s="109"/>
      <c r="M17" s="109"/>
      <c r="N17" s="109"/>
      <c r="O17" s="263"/>
      <c r="P17" s="263"/>
      <c r="Q17" s="263"/>
      <c r="R17" s="263"/>
      <c r="S17" s="256"/>
      <c r="T17" s="252"/>
      <c r="U17" s="219"/>
      <c r="V17" s="220"/>
      <c r="W17" s="221"/>
      <c r="X17" s="220"/>
      <c r="Y17" s="222">
        <f t="shared" si="6"/>
        <v>0</v>
      </c>
      <c r="Z17" s="222">
        <f t="shared" si="3"/>
        <v>0</v>
      </c>
      <c r="AA17" s="222">
        <f t="shared" si="4"/>
        <v>0</v>
      </c>
      <c r="AB17" s="109"/>
      <c r="AC17" s="223"/>
      <c r="AD17" s="223"/>
      <c r="AE17" s="224">
        <f t="shared" si="5"/>
        <v>0</v>
      </c>
    </row>
    <row r="18" spans="1:31" x14ac:dyDescent="0.25">
      <c r="A18" s="108"/>
      <c r="B18" s="109"/>
      <c r="C18" s="109"/>
      <c r="D18" s="109"/>
      <c r="E18" s="109"/>
      <c r="F18" s="109"/>
      <c r="G18" s="109"/>
      <c r="H18" s="109"/>
      <c r="I18" s="109"/>
      <c r="J18" s="109"/>
      <c r="K18" s="109"/>
      <c r="L18" s="109"/>
      <c r="M18" s="109"/>
      <c r="N18" s="109"/>
      <c r="O18" s="263"/>
      <c r="P18" s="263"/>
      <c r="Q18" s="263"/>
      <c r="R18" s="263"/>
      <c r="S18" s="256"/>
      <c r="T18" s="252"/>
      <c r="U18" s="219"/>
      <c r="V18" s="220"/>
      <c r="W18" s="221"/>
      <c r="X18" s="220"/>
      <c r="Y18" s="222">
        <f t="shared" si="6"/>
        <v>0</v>
      </c>
      <c r="Z18" s="222">
        <f t="shared" si="3"/>
        <v>0</v>
      </c>
      <c r="AA18" s="222">
        <f t="shared" si="4"/>
        <v>0</v>
      </c>
      <c r="AB18" s="109"/>
      <c r="AC18" s="223"/>
      <c r="AD18" s="223"/>
      <c r="AE18" s="224">
        <f t="shared" si="5"/>
        <v>0</v>
      </c>
    </row>
    <row r="19" spans="1:31" x14ac:dyDescent="0.25">
      <c r="A19" s="108"/>
      <c r="B19" s="109"/>
      <c r="C19" s="109"/>
      <c r="D19" s="109"/>
      <c r="E19" s="109"/>
      <c r="F19" s="109"/>
      <c r="G19" s="109"/>
      <c r="H19" s="109"/>
      <c r="I19" s="109"/>
      <c r="J19" s="109"/>
      <c r="K19" s="109"/>
      <c r="L19" s="109"/>
      <c r="M19" s="109"/>
      <c r="N19" s="109"/>
      <c r="O19" s="263"/>
      <c r="P19" s="263"/>
      <c r="Q19" s="263"/>
      <c r="R19" s="263"/>
      <c r="S19" s="256"/>
      <c r="T19" s="252"/>
      <c r="U19" s="219"/>
      <c r="V19" s="220"/>
      <c r="W19" s="221"/>
      <c r="X19" s="220"/>
      <c r="Y19" s="222">
        <f t="shared" si="6"/>
        <v>0</v>
      </c>
      <c r="Z19" s="222">
        <f t="shared" si="3"/>
        <v>0</v>
      </c>
      <c r="AA19" s="222">
        <f t="shared" si="4"/>
        <v>0</v>
      </c>
      <c r="AB19" s="109"/>
      <c r="AC19" s="223"/>
      <c r="AD19" s="223"/>
      <c r="AE19" s="224">
        <f t="shared" si="5"/>
        <v>0</v>
      </c>
    </row>
    <row r="20" spans="1:31" x14ac:dyDescent="0.25">
      <c r="A20" s="108"/>
      <c r="B20" s="109"/>
      <c r="C20" s="109"/>
      <c r="D20" s="109"/>
      <c r="E20" s="109"/>
      <c r="F20" s="109"/>
      <c r="G20" s="109"/>
      <c r="H20" s="109"/>
      <c r="I20" s="109"/>
      <c r="J20" s="109"/>
      <c r="K20" s="109"/>
      <c r="L20" s="109"/>
      <c r="M20" s="109"/>
      <c r="N20" s="109"/>
      <c r="O20" s="263"/>
      <c r="P20" s="263"/>
      <c r="Q20" s="263"/>
      <c r="R20" s="263"/>
      <c r="S20" s="256"/>
      <c r="T20" s="252"/>
      <c r="U20" s="219"/>
      <c r="V20" s="220"/>
      <c r="W20" s="221"/>
      <c r="X20" s="220"/>
      <c r="Y20" s="222">
        <f t="shared" si="6"/>
        <v>0</v>
      </c>
      <c r="Z20" s="222">
        <f t="shared" si="3"/>
        <v>0</v>
      </c>
      <c r="AA20" s="222">
        <f t="shared" si="4"/>
        <v>0</v>
      </c>
      <c r="AB20" s="109"/>
      <c r="AC20" s="223"/>
      <c r="AD20" s="223"/>
      <c r="AE20" s="224">
        <f t="shared" si="5"/>
        <v>0</v>
      </c>
    </row>
    <row r="21" spans="1:31" x14ac:dyDescent="0.25">
      <c r="A21" s="108"/>
      <c r="B21" s="109"/>
      <c r="C21" s="109"/>
      <c r="D21" s="109"/>
      <c r="E21" s="109"/>
      <c r="F21" s="109"/>
      <c r="G21" s="109"/>
      <c r="H21" s="109"/>
      <c r="I21" s="109"/>
      <c r="J21" s="109"/>
      <c r="K21" s="109"/>
      <c r="L21" s="109"/>
      <c r="M21" s="109"/>
      <c r="N21" s="109"/>
      <c r="O21" s="263"/>
      <c r="P21" s="263"/>
      <c r="Q21" s="263"/>
      <c r="R21" s="263"/>
      <c r="S21" s="256"/>
      <c r="T21" s="252"/>
      <c r="U21" s="219"/>
      <c r="V21" s="220"/>
      <c r="W21" s="221"/>
      <c r="X21" s="220"/>
      <c r="Y21" s="222">
        <f t="shared" si="6"/>
        <v>0</v>
      </c>
      <c r="Z21" s="222">
        <f t="shared" si="3"/>
        <v>0</v>
      </c>
      <c r="AA21" s="222">
        <f t="shared" si="4"/>
        <v>0</v>
      </c>
      <c r="AB21" s="109"/>
      <c r="AC21" s="223"/>
      <c r="AD21" s="223"/>
      <c r="AE21" s="224">
        <f t="shared" si="5"/>
        <v>0</v>
      </c>
    </row>
    <row r="22" spans="1:31" x14ac:dyDescent="0.25">
      <c r="A22" s="108"/>
      <c r="B22" s="109"/>
      <c r="C22" s="109"/>
      <c r="D22" s="109"/>
      <c r="E22" s="109"/>
      <c r="F22" s="109"/>
      <c r="G22" s="109"/>
      <c r="H22" s="109"/>
      <c r="I22" s="109"/>
      <c r="J22" s="109"/>
      <c r="K22" s="109"/>
      <c r="L22" s="109"/>
      <c r="M22" s="109"/>
      <c r="N22" s="109"/>
      <c r="O22" s="263"/>
      <c r="P22" s="263"/>
      <c r="Q22" s="263"/>
      <c r="R22" s="263"/>
      <c r="S22" s="256"/>
      <c r="T22" s="252"/>
      <c r="U22" s="219"/>
      <c r="V22" s="220"/>
      <c r="W22" s="221"/>
      <c r="X22" s="220"/>
      <c r="Y22" s="222">
        <f t="shared" si="6"/>
        <v>0</v>
      </c>
      <c r="Z22" s="222">
        <f t="shared" si="3"/>
        <v>0</v>
      </c>
      <c r="AA22" s="222">
        <f t="shared" si="4"/>
        <v>0</v>
      </c>
      <c r="AB22" s="109"/>
      <c r="AC22" s="223"/>
      <c r="AD22" s="223"/>
      <c r="AE22" s="224">
        <f t="shared" si="5"/>
        <v>0</v>
      </c>
    </row>
    <row r="23" spans="1:31" x14ac:dyDescent="0.25">
      <c r="A23" s="108"/>
      <c r="B23" s="109"/>
      <c r="C23" s="109"/>
      <c r="D23" s="109"/>
      <c r="E23" s="109"/>
      <c r="F23" s="109"/>
      <c r="G23" s="109"/>
      <c r="H23" s="109"/>
      <c r="I23" s="109"/>
      <c r="J23" s="109"/>
      <c r="K23" s="109"/>
      <c r="L23" s="109"/>
      <c r="M23" s="109"/>
      <c r="N23" s="109"/>
      <c r="O23" s="263"/>
      <c r="P23" s="263"/>
      <c r="Q23" s="263"/>
      <c r="R23" s="263"/>
      <c r="S23" s="256"/>
      <c r="T23" s="252"/>
      <c r="U23" s="219"/>
      <c r="V23" s="220"/>
      <c r="W23" s="221"/>
      <c r="X23" s="220"/>
      <c r="Y23" s="222">
        <f t="shared" si="6"/>
        <v>0</v>
      </c>
      <c r="Z23" s="222">
        <f t="shared" si="3"/>
        <v>0</v>
      </c>
      <c r="AA23" s="222">
        <f t="shared" si="4"/>
        <v>0</v>
      </c>
      <c r="AB23" s="109"/>
      <c r="AC23" s="223"/>
      <c r="AD23" s="223"/>
      <c r="AE23" s="224">
        <f t="shared" si="5"/>
        <v>0</v>
      </c>
    </row>
    <row r="24" spans="1:31" x14ac:dyDescent="0.25">
      <c r="A24" s="108"/>
      <c r="B24" s="109"/>
      <c r="C24" s="109"/>
      <c r="D24" s="109"/>
      <c r="E24" s="109"/>
      <c r="F24" s="109"/>
      <c r="G24" s="109"/>
      <c r="H24" s="109"/>
      <c r="I24" s="109"/>
      <c r="J24" s="109"/>
      <c r="K24" s="109"/>
      <c r="L24" s="109"/>
      <c r="M24" s="109"/>
      <c r="N24" s="109"/>
      <c r="O24" s="263"/>
      <c r="P24" s="263"/>
      <c r="Q24" s="263"/>
      <c r="R24" s="263"/>
      <c r="S24" s="256"/>
      <c r="T24" s="252"/>
      <c r="U24" s="219"/>
      <c r="V24" s="220"/>
      <c r="W24" s="221"/>
      <c r="X24" s="220"/>
      <c r="Y24" s="222">
        <f t="shared" si="6"/>
        <v>0</v>
      </c>
      <c r="Z24" s="222">
        <f t="shared" si="3"/>
        <v>0</v>
      </c>
      <c r="AA24" s="222">
        <f t="shared" si="4"/>
        <v>0</v>
      </c>
      <c r="AB24" s="109"/>
      <c r="AC24" s="223"/>
      <c r="AD24" s="223"/>
      <c r="AE24" s="224">
        <f t="shared" si="5"/>
        <v>0</v>
      </c>
    </row>
    <row r="25" spans="1:31" x14ac:dyDescent="0.25">
      <c r="A25" s="108"/>
      <c r="B25" s="109"/>
      <c r="C25" s="109"/>
      <c r="D25" s="109"/>
      <c r="E25" s="109"/>
      <c r="F25" s="109"/>
      <c r="G25" s="109"/>
      <c r="H25" s="109"/>
      <c r="I25" s="109"/>
      <c r="J25" s="109"/>
      <c r="K25" s="109"/>
      <c r="L25" s="109"/>
      <c r="M25" s="109"/>
      <c r="N25" s="109"/>
      <c r="O25" s="263"/>
      <c r="P25" s="263"/>
      <c r="Q25" s="263"/>
      <c r="R25" s="263"/>
      <c r="S25" s="256"/>
      <c r="T25" s="252"/>
      <c r="U25" s="219"/>
      <c r="V25" s="220"/>
      <c r="W25" s="221"/>
      <c r="X25" s="220"/>
      <c r="Y25" s="222">
        <f t="shared" si="6"/>
        <v>0</v>
      </c>
      <c r="Z25" s="222">
        <f t="shared" si="3"/>
        <v>0</v>
      </c>
      <c r="AA25" s="222">
        <f t="shared" si="4"/>
        <v>0</v>
      </c>
      <c r="AB25" s="109"/>
      <c r="AC25" s="223"/>
      <c r="AD25" s="223"/>
      <c r="AE25" s="224">
        <f t="shared" si="5"/>
        <v>0</v>
      </c>
    </row>
    <row r="26" spans="1:31" x14ac:dyDescent="0.25">
      <c r="A26" s="108"/>
      <c r="B26" s="109"/>
      <c r="C26" s="109"/>
      <c r="D26" s="109"/>
      <c r="E26" s="109"/>
      <c r="F26" s="109"/>
      <c r="G26" s="109"/>
      <c r="H26" s="109"/>
      <c r="I26" s="109"/>
      <c r="J26" s="109"/>
      <c r="K26" s="109"/>
      <c r="L26" s="109"/>
      <c r="M26" s="109"/>
      <c r="N26" s="109"/>
      <c r="O26" s="263"/>
      <c r="P26" s="263"/>
      <c r="Q26" s="263"/>
      <c r="R26" s="263"/>
      <c r="S26" s="256"/>
      <c r="T26" s="252"/>
      <c r="U26" s="219"/>
      <c r="V26" s="220"/>
      <c r="W26" s="221"/>
      <c r="X26" s="220"/>
      <c r="Y26" s="222">
        <f t="shared" si="6"/>
        <v>0</v>
      </c>
      <c r="Z26" s="222">
        <f t="shared" si="3"/>
        <v>0</v>
      </c>
      <c r="AA26" s="222">
        <f t="shared" si="4"/>
        <v>0</v>
      </c>
      <c r="AB26" s="109"/>
      <c r="AC26" s="223"/>
      <c r="AD26" s="223"/>
      <c r="AE26" s="224">
        <f t="shared" si="5"/>
        <v>0</v>
      </c>
    </row>
    <row r="27" spans="1:31" x14ac:dyDescent="0.25">
      <c r="A27" s="108"/>
      <c r="B27" s="109"/>
      <c r="C27" s="109"/>
      <c r="D27" s="109"/>
      <c r="E27" s="109"/>
      <c r="F27" s="109"/>
      <c r="G27" s="109"/>
      <c r="H27" s="109"/>
      <c r="I27" s="109"/>
      <c r="J27" s="109"/>
      <c r="K27" s="109"/>
      <c r="L27" s="109"/>
      <c r="M27" s="109"/>
      <c r="N27" s="109"/>
      <c r="O27" s="263"/>
      <c r="P27" s="263"/>
      <c r="Q27" s="263"/>
      <c r="R27" s="263"/>
      <c r="S27" s="256"/>
      <c r="T27" s="252"/>
      <c r="U27" s="219"/>
      <c r="V27" s="220"/>
      <c r="W27" s="221"/>
      <c r="X27" s="220"/>
      <c r="Y27" s="222">
        <f t="shared" si="6"/>
        <v>0</v>
      </c>
      <c r="Z27" s="222">
        <f t="shared" si="3"/>
        <v>0</v>
      </c>
      <c r="AA27" s="222">
        <f t="shared" si="4"/>
        <v>0</v>
      </c>
      <c r="AB27" s="109"/>
      <c r="AC27" s="223"/>
      <c r="AD27" s="223"/>
      <c r="AE27" s="224">
        <f t="shared" si="5"/>
        <v>0</v>
      </c>
    </row>
    <row r="28" spans="1:31" x14ac:dyDescent="0.25">
      <c r="A28" s="108"/>
      <c r="B28" s="109"/>
      <c r="C28" s="109"/>
      <c r="D28" s="109"/>
      <c r="E28" s="109"/>
      <c r="F28" s="109"/>
      <c r="G28" s="109"/>
      <c r="H28" s="109"/>
      <c r="I28" s="109"/>
      <c r="J28" s="109"/>
      <c r="K28" s="109"/>
      <c r="L28" s="109"/>
      <c r="M28" s="109"/>
      <c r="N28" s="109"/>
      <c r="O28" s="263"/>
      <c r="P28" s="263"/>
      <c r="Q28" s="263"/>
      <c r="R28" s="263"/>
      <c r="S28" s="256"/>
      <c r="T28" s="252"/>
      <c r="U28" s="219"/>
      <c r="V28" s="220"/>
      <c r="W28" s="221"/>
      <c r="X28" s="220"/>
      <c r="Y28" s="222">
        <f t="shared" si="6"/>
        <v>0</v>
      </c>
      <c r="Z28" s="222">
        <f t="shared" si="3"/>
        <v>0</v>
      </c>
      <c r="AA28" s="222">
        <f t="shared" si="4"/>
        <v>0</v>
      </c>
      <c r="AB28" s="109"/>
      <c r="AC28" s="223"/>
      <c r="AD28" s="223"/>
      <c r="AE28" s="224">
        <f t="shared" si="5"/>
        <v>0</v>
      </c>
    </row>
    <row r="29" spans="1:31" x14ac:dyDescent="0.25">
      <c r="A29" s="108"/>
      <c r="B29" s="109"/>
      <c r="C29" s="109"/>
      <c r="D29" s="109"/>
      <c r="E29" s="109"/>
      <c r="F29" s="109"/>
      <c r="G29" s="109"/>
      <c r="H29" s="109"/>
      <c r="I29" s="109"/>
      <c r="J29" s="109"/>
      <c r="K29" s="109"/>
      <c r="L29" s="109"/>
      <c r="M29" s="109"/>
      <c r="N29" s="109"/>
      <c r="O29" s="263"/>
      <c r="P29" s="263"/>
      <c r="Q29" s="263"/>
      <c r="R29" s="263"/>
      <c r="S29" s="256"/>
      <c r="T29" s="252"/>
      <c r="U29" s="219"/>
      <c r="V29" s="220"/>
      <c r="W29" s="221"/>
      <c r="X29" s="220"/>
      <c r="Y29" s="222">
        <f t="shared" si="6"/>
        <v>0</v>
      </c>
      <c r="Z29" s="222">
        <f t="shared" si="3"/>
        <v>0</v>
      </c>
      <c r="AA29" s="222">
        <f t="shared" si="4"/>
        <v>0</v>
      </c>
      <c r="AB29" s="109"/>
      <c r="AC29" s="223"/>
      <c r="AD29" s="223"/>
      <c r="AE29" s="224">
        <f t="shared" si="5"/>
        <v>0</v>
      </c>
    </row>
    <row r="30" spans="1:31" x14ac:dyDescent="0.25">
      <c r="A30" s="108"/>
      <c r="B30" s="109"/>
      <c r="C30" s="109"/>
      <c r="D30" s="109"/>
      <c r="E30" s="109"/>
      <c r="F30" s="109"/>
      <c r="G30" s="109"/>
      <c r="H30" s="109"/>
      <c r="I30" s="109"/>
      <c r="J30" s="109"/>
      <c r="K30" s="109"/>
      <c r="L30" s="109"/>
      <c r="M30" s="109"/>
      <c r="N30" s="109"/>
      <c r="O30" s="263"/>
      <c r="P30" s="263"/>
      <c r="Q30" s="263"/>
      <c r="R30" s="263"/>
      <c r="S30" s="256"/>
      <c r="T30" s="252"/>
      <c r="U30" s="219"/>
      <c r="V30" s="220"/>
      <c r="W30" s="221"/>
      <c r="X30" s="220"/>
      <c r="Y30" s="222">
        <f t="shared" si="6"/>
        <v>0</v>
      </c>
      <c r="Z30" s="222">
        <f t="shared" si="3"/>
        <v>0</v>
      </c>
      <c r="AA30" s="222">
        <f t="shared" si="4"/>
        <v>0</v>
      </c>
      <c r="AB30" s="109"/>
      <c r="AC30" s="223"/>
      <c r="AD30" s="223"/>
      <c r="AE30" s="224">
        <f t="shared" si="5"/>
        <v>0</v>
      </c>
    </row>
    <row r="31" spans="1:31" x14ac:dyDescent="0.25">
      <c r="A31" s="108"/>
      <c r="B31" s="109"/>
      <c r="C31" s="109"/>
      <c r="D31" s="109"/>
      <c r="E31" s="109"/>
      <c r="F31" s="109"/>
      <c r="G31" s="109"/>
      <c r="H31" s="109"/>
      <c r="I31" s="109"/>
      <c r="J31" s="109"/>
      <c r="K31" s="109"/>
      <c r="L31" s="109"/>
      <c r="M31" s="109"/>
      <c r="N31" s="109"/>
      <c r="O31" s="263"/>
      <c r="P31" s="263"/>
      <c r="Q31" s="263"/>
      <c r="R31" s="263"/>
      <c r="S31" s="256"/>
      <c r="T31" s="252"/>
      <c r="U31" s="219"/>
      <c r="V31" s="220"/>
      <c r="W31" s="221"/>
      <c r="X31" s="220"/>
      <c r="Y31" s="222">
        <f t="shared" si="6"/>
        <v>0</v>
      </c>
      <c r="Z31" s="222">
        <f t="shared" si="3"/>
        <v>0</v>
      </c>
      <c r="AA31" s="222">
        <f t="shared" si="4"/>
        <v>0</v>
      </c>
      <c r="AB31" s="109"/>
      <c r="AC31" s="223"/>
      <c r="AD31" s="223"/>
      <c r="AE31" s="224">
        <f t="shared" si="5"/>
        <v>0</v>
      </c>
    </row>
    <row r="32" spans="1:31" x14ac:dyDescent="0.25">
      <c r="A32" s="108"/>
      <c r="B32" s="109"/>
      <c r="C32" s="109"/>
      <c r="D32" s="109"/>
      <c r="E32" s="109"/>
      <c r="F32" s="109"/>
      <c r="G32" s="109"/>
      <c r="H32" s="109"/>
      <c r="I32" s="109"/>
      <c r="J32" s="109"/>
      <c r="K32" s="109"/>
      <c r="L32" s="109"/>
      <c r="M32" s="109"/>
      <c r="N32" s="109"/>
      <c r="O32" s="263"/>
      <c r="P32" s="263"/>
      <c r="Q32" s="263"/>
      <c r="R32" s="263"/>
      <c r="S32" s="256"/>
      <c r="T32" s="252"/>
      <c r="U32" s="219"/>
      <c r="V32" s="220"/>
      <c r="W32" s="221"/>
      <c r="X32" s="220"/>
      <c r="Y32" s="222">
        <f t="shared" si="6"/>
        <v>0</v>
      </c>
      <c r="Z32" s="222">
        <f t="shared" si="3"/>
        <v>0</v>
      </c>
      <c r="AA32" s="222">
        <f t="shared" si="4"/>
        <v>0</v>
      </c>
      <c r="AB32" s="109"/>
      <c r="AC32" s="223"/>
      <c r="AD32" s="223"/>
      <c r="AE32" s="224">
        <f t="shared" si="5"/>
        <v>0</v>
      </c>
    </row>
    <row r="33" spans="1:31" x14ac:dyDescent="0.25">
      <c r="A33" s="108"/>
      <c r="B33" s="109"/>
      <c r="C33" s="109"/>
      <c r="D33" s="109"/>
      <c r="E33" s="109"/>
      <c r="F33" s="109"/>
      <c r="G33" s="109"/>
      <c r="H33" s="109"/>
      <c r="I33" s="109"/>
      <c r="J33" s="109"/>
      <c r="K33" s="109"/>
      <c r="L33" s="109"/>
      <c r="M33" s="109"/>
      <c r="N33" s="109"/>
      <c r="O33" s="263"/>
      <c r="P33" s="263"/>
      <c r="Q33" s="263"/>
      <c r="R33" s="263"/>
      <c r="S33" s="256"/>
      <c r="T33" s="252"/>
      <c r="U33" s="219"/>
      <c r="V33" s="220"/>
      <c r="W33" s="221"/>
      <c r="X33" s="220"/>
      <c r="Y33" s="222">
        <f t="shared" si="6"/>
        <v>0</v>
      </c>
      <c r="Z33" s="222">
        <f t="shared" si="3"/>
        <v>0</v>
      </c>
      <c r="AA33" s="222">
        <f t="shared" si="4"/>
        <v>0</v>
      </c>
      <c r="AB33" s="109"/>
      <c r="AC33" s="223"/>
      <c r="AD33" s="223"/>
      <c r="AE33" s="224">
        <f t="shared" si="5"/>
        <v>0</v>
      </c>
    </row>
    <row r="34" spans="1:31" x14ac:dyDescent="0.25">
      <c r="A34" s="108"/>
      <c r="B34" s="109"/>
      <c r="C34" s="109"/>
      <c r="D34" s="109"/>
      <c r="E34" s="109"/>
      <c r="F34" s="109"/>
      <c r="G34" s="109"/>
      <c r="H34" s="109"/>
      <c r="I34" s="109"/>
      <c r="J34" s="109"/>
      <c r="K34" s="109"/>
      <c r="L34" s="109"/>
      <c r="M34" s="109"/>
      <c r="N34" s="109"/>
      <c r="O34" s="263"/>
      <c r="P34" s="263"/>
      <c r="Q34" s="263"/>
      <c r="R34" s="263"/>
      <c r="S34" s="256"/>
      <c r="T34" s="252"/>
      <c r="U34" s="219"/>
      <c r="V34" s="220"/>
      <c r="W34" s="221"/>
      <c r="X34" s="220"/>
      <c r="Y34" s="222">
        <f t="shared" si="6"/>
        <v>0</v>
      </c>
      <c r="Z34" s="222">
        <f t="shared" si="3"/>
        <v>0</v>
      </c>
      <c r="AA34" s="222">
        <f t="shared" si="4"/>
        <v>0</v>
      </c>
      <c r="AB34" s="109"/>
      <c r="AC34" s="223"/>
      <c r="AD34" s="223"/>
      <c r="AE34" s="224">
        <f t="shared" si="5"/>
        <v>0</v>
      </c>
    </row>
    <row r="35" spans="1:31" x14ac:dyDescent="0.25">
      <c r="A35" s="108"/>
      <c r="B35" s="109"/>
      <c r="C35" s="109"/>
      <c r="D35" s="109"/>
      <c r="E35" s="109"/>
      <c r="F35" s="109"/>
      <c r="G35" s="109"/>
      <c r="H35" s="109"/>
      <c r="I35" s="109"/>
      <c r="J35" s="109"/>
      <c r="K35" s="109"/>
      <c r="L35" s="109"/>
      <c r="M35" s="109"/>
      <c r="N35" s="109"/>
      <c r="O35" s="263"/>
      <c r="P35" s="263"/>
      <c r="Q35" s="263"/>
      <c r="R35" s="263"/>
      <c r="S35" s="256"/>
      <c r="T35" s="252"/>
      <c r="U35" s="219"/>
      <c r="V35" s="220"/>
      <c r="W35" s="221"/>
      <c r="X35" s="220"/>
      <c r="Y35" s="222">
        <f t="shared" si="6"/>
        <v>0</v>
      </c>
      <c r="Z35" s="222">
        <f t="shared" si="3"/>
        <v>0</v>
      </c>
      <c r="AA35" s="222">
        <f t="shared" si="4"/>
        <v>0</v>
      </c>
      <c r="AB35" s="109"/>
      <c r="AC35" s="223"/>
      <c r="AD35" s="223"/>
      <c r="AE35" s="224">
        <f t="shared" si="5"/>
        <v>0</v>
      </c>
    </row>
    <row r="36" spans="1:31" x14ac:dyDescent="0.25">
      <c r="A36" s="108"/>
      <c r="B36" s="109"/>
      <c r="C36" s="109"/>
      <c r="D36" s="109"/>
      <c r="E36" s="109"/>
      <c r="F36" s="109"/>
      <c r="G36" s="109"/>
      <c r="H36" s="109"/>
      <c r="I36" s="109"/>
      <c r="J36" s="109"/>
      <c r="K36" s="109"/>
      <c r="L36" s="109"/>
      <c r="M36" s="109"/>
      <c r="N36" s="109"/>
      <c r="O36" s="263"/>
      <c r="P36" s="263"/>
      <c r="Q36" s="263"/>
      <c r="R36" s="263"/>
      <c r="S36" s="256"/>
      <c r="T36" s="252"/>
      <c r="U36" s="219"/>
      <c r="V36" s="220"/>
      <c r="W36" s="221"/>
      <c r="X36" s="220"/>
      <c r="Y36" s="222">
        <f t="shared" si="6"/>
        <v>0</v>
      </c>
      <c r="Z36" s="222">
        <f t="shared" si="3"/>
        <v>0</v>
      </c>
      <c r="AA36" s="222">
        <f t="shared" si="4"/>
        <v>0</v>
      </c>
      <c r="AB36" s="109"/>
      <c r="AC36" s="223"/>
      <c r="AD36" s="223"/>
      <c r="AE36" s="224">
        <f t="shared" si="5"/>
        <v>0</v>
      </c>
    </row>
    <row r="37" spans="1:31" x14ac:dyDescent="0.25">
      <c r="A37" s="108"/>
      <c r="B37" s="109"/>
      <c r="C37" s="109"/>
      <c r="D37" s="109"/>
      <c r="E37" s="109"/>
      <c r="F37" s="109"/>
      <c r="G37" s="109"/>
      <c r="H37" s="109"/>
      <c r="I37" s="109"/>
      <c r="J37" s="109"/>
      <c r="K37" s="109"/>
      <c r="L37" s="109"/>
      <c r="M37" s="109"/>
      <c r="N37" s="109"/>
      <c r="O37" s="263"/>
      <c r="P37" s="263"/>
      <c r="Q37" s="263"/>
      <c r="R37" s="263"/>
      <c r="S37" s="256"/>
      <c r="T37" s="252"/>
      <c r="U37" s="219"/>
      <c r="V37" s="220"/>
      <c r="W37" s="221"/>
      <c r="X37" s="220"/>
      <c r="Y37" s="222">
        <f t="shared" si="6"/>
        <v>0</v>
      </c>
      <c r="Z37" s="222">
        <f t="shared" si="3"/>
        <v>0</v>
      </c>
      <c r="AA37" s="222">
        <f t="shared" si="4"/>
        <v>0</v>
      </c>
      <c r="AB37" s="109"/>
      <c r="AC37" s="223"/>
      <c r="AD37" s="223"/>
      <c r="AE37" s="224">
        <f t="shared" si="5"/>
        <v>0</v>
      </c>
    </row>
    <row r="38" spans="1:31" x14ac:dyDescent="0.25">
      <c r="A38" s="108"/>
      <c r="B38" s="109"/>
      <c r="C38" s="109"/>
      <c r="D38" s="109"/>
      <c r="E38" s="109"/>
      <c r="F38" s="109"/>
      <c r="G38" s="109"/>
      <c r="H38" s="109"/>
      <c r="I38" s="109"/>
      <c r="J38" s="109"/>
      <c r="K38" s="109"/>
      <c r="L38" s="109"/>
      <c r="M38" s="109"/>
      <c r="N38" s="109"/>
      <c r="O38" s="263"/>
      <c r="P38" s="263"/>
      <c r="Q38" s="263"/>
      <c r="R38" s="263"/>
      <c r="S38" s="256"/>
      <c r="T38" s="252"/>
      <c r="U38" s="219"/>
      <c r="V38" s="220"/>
      <c r="W38" s="221"/>
      <c r="X38" s="220"/>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4.4"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1.4" x14ac:dyDescent="0.25">
      <c r="A89" s="144" t="s">
        <v>255</v>
      </c>
      <c r="B89" s="195"/>
      <c r="C89" s="195"/>
      <c r="D89" s="195"/>
      <c r="E89" s="195"/>
      <c r="F89" s="195"/>
      <c r="G89" s="195"/>
      <c r="H89" s="195"/>
      <c r="I89" s="195"/>
      <c r="J89" s="195"/>
      <c r="K89" s="195"/>
      <c r="L89" s="195"/>
      <c r="M89" s="195"/>
      <c r="N89" s="195"/>
      <c r="O89" s="195"/>
      <c r="P89" s="195"/>
      <c r="Q89" s="195"/>
      <c r="R89" s="195"/>
      <c r="S89" s="195"/>
      <c r="T89" s="195">
        <f>SUM(T12:T83)</f>
        <v>0</v>
      </c>
      <c r="U89" s="235"/>
      <c r="V89" s="236"/>
      <c r="W89" s="237"/>
      <c r="X89" s="236"/>
      <c r="Y89" s="236"/>
      <c r="Z89" s="235">
        <f>SUM(Z12:Z83)</f>
        <v>0</v>
      </c>
      <c r="AA89" s="235">
        <f>SUM(AA12:AA83)</f>
        <v>0</v>
      </c>
      <c r="AB89" s="195"/>
      <c r="AC89" s="235">
        <f>SUM(AC12:AC83)</f>
        <v>0</v>
      </c>
      <c r="AD89" s="235">
        <f>SUM(AD12:AD83)</f>
        <v>0</v>
      </c>
      <c r="AE89" s="238">
        <f>SUM(AE12:AE83)</f>
        <v>0</v>
      </c>
    </row>
    <row r="90" spans="1:31" x14ac:dyDescent="0.25">
      <c r="A90" s="72"/>
      <c r="U90" s="230"/>
      <c r="V90" s="232"/>
      <c r="W90" s="233"/>
      <c r="X90" s="232"/>
      <c r="Y90" s="232"/>
      <c r="Z90" s="230"/>
      <c r="AA90" s="230"/>
      <c r="AC90" s="234"/>
      <c r="AD90" s="234"/>
    </row>
    <row r="91" spans="1:31" ht="27.6" x14ac:dyDescent="0.25">
      <c r="A91" s="239" t="s">
        <v>256</v>
      </c>
      <c r="B91" s="205"/>
      <c r="C91" s="205"/>
      <c r="D91" s="205"/>
      <c r="E91" s="205"/>
      <c r="F91" s="205"/>
      <c r="G91" s="205"/>
      <c r="H91" s="205"/>
      <c r="I91" s="205"/>
      <c r="J91" s="205"/>
      <c r="K91" s="205"/>
      <c r="L91" s="205"/>
      <c r="M91" s="205"/>
      <c r="N91" s="205"/>
      <c r="O91" s="205"/>
      <c r="P91" s="205"/>
      <c r="Q91" s="205"/>
      <c r="R91" s="205"/>
      <c r="S91" s="205"/>
      <c r="T91" s="205">
        <f>SUMIF($X$12:$X$83,100%,T$12:T$83)</f>
        <v>0</v>
      </c>
      <c r="U91" s="240"/>
      <c r="V91" s="241"/>
      <c r="W91" s="242"/>
      <c r="X91" s="241"/>
      <c r="Y91" s="241"/>
      <c r="Z91" s="240">
        <f>SUMIF($X$12:$X$83,100%,Z$12:Z$83)</f>
        <v>0</v>
      </c>
      <c r="AA91" s="240">
        <f>SUMIF($X$12:$X$83,100%,AA$12:AA$83)</f>
        <v>0</v>
      </c>
      <c r="AB91" s="205"/>
      <c r="AC91" s="240">
        <f t="shared" ref="AC91:AE91" si="11">SUMIF($X$12:$X$83,100%,AC$12:AC$83)</f>
        <v>0</v>
      </c>
      <c r="AD91" s="240">
        <f t="shared" si="11"/>
        <v>0</v>
      </c>
      <c r="AE91" s="243">
        <f t="shared" si="11"/>
        <v>0</v>
      </c>
    </row>
    <row r="92" spans="1:31" ht="14.4" thickBot="1" x14ac:dyDescent="0.3">
      <c r="A92" s="244" t="s">
        <v>257</v>
      </c>
      <c r="B92" s="211"/>
      <c r="C92" s="211"/>
      <c r="D92" s="211"/>
      <c r="E92" s="211"/>
      <c r="F92" s="211"/>
      <c r="G92" s="211"/>
      <c r="H92" s="211"/>
      <c r="I92" s="211"/>
      <c r="J92" s="211"/>
      <c r="K92" s="211"/>
      <c r="L92" s="211"/>
      <c r="M92" s="211"/>
      <c r="N92" s="211"/>
      <c r="O92" s="211"/>
      <c r="P92" s="211"/>
      <c r="Q92" s="211"/>
      <c r="R92" s="211"/>
      <c r="S92" s="211"/>
      <c r="T92" s="211">
        <f>SUMIF($X$12:$X$83,50%,T$12:T$83)</f>
        <v>0</v>
      </c>
      <c r="U92" s="245"/>
      <c r="V92" s="246"/>
      <c r="W92" s="247"/>
      <c r="X92" s="246"/>
      <c r="Y92" s="246"/>
      <c r="Z92" s="245">
        <f>SUMIF($X$12:$X$83,50%,Z$12:Z$83)</f>
        <v>0</v>
      </c>
      <c r="AA92" s="245">
        <f>SUMIF($X$12:$X$83,50%,AA$12:AA$83)</f>
        <v>0</v>
      </c>
      <c r="AB92" s="211"/>
      <c r="AC92" s="245">
        <f>SUMIF($X$12:$X$83,50%,AC$12:AC$83)</f>
        <v>0</v>
      </c>
      <c r="AD92" s="245">
        <f>SUMIF($X$12:$X$83,50%,AD$12:AD$83)</f>
        <v>0</v>
      </c>
      <c r="AE92" s="297">
        <f>SUMIF($X$12:$X$83,50%,AE$12:AE$83)</f>
        <v>0</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2LwHy3aTG4+h63JEybcUq1pGX38FrZI04usoYJRJfDNLe8Bc9YM3AmMG2VZjBP/xRnyhz/8NxbDm9COjmgLJJg==" saltValue="nzoIv2eTw6IVpp7hqMxDFw==" spinCount="100000" sheet="1" objects="1" scenarios="1"/>
  <autoFilter ref="A11:AE83" xr:uid="{00000000-0009-0000-0000-000000000000}"/>
  <mergeCells count="2">
    <mergeCell ref="A10:S10"/>
    <mergeCell ref="T10:AE10"/>
  </mergeCells>
  <dataValidations count="4">
    <dataValidation type="list" allowBlank="1" showInputMessage="1" showErrorMessage="1" sqref="B1:L1" xr:uid="{0911C0BD-B4FF-4DAC-A1A5-5D83D9D9EBB2}">
      <formula1>State</formula1>
    </dataValidation>
    <dataValidation type="list" allowBlank="1" showInputMessage="1" showErrorMessage="1" sqref="O12:O83 I12:J83 G12:G83 C12:E83"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B12:B83</xm:sqref>
        </x14:dataValidation>
        <x14:dataValidation type="list" allowBlank="1" showInputMessage="1" showErrorMessage="1" xr:uid="{47ED6CA0-2B99-4E0A-88AC-39C381AE1A25}">
          <x14:formula1>
            <xm:f>lookups!$F$2:$F$3</xm:f>
          </x14:formula1>
          <xm:sqref>X12:X83</xm:sqref>
        </x14:dataValidation>
        <x14:dataValidation type="list" allowBlank="1" showInputMessage="1" showErrorMessage="1" xr:uid="{B5691963-8E08-41BB-BA39-ED14A41ABB5E}">
          <x14:formula1>
            <xm:f>lookups!$H$2:$H$4</xm:f>
          </x14:formula1>
          <xm:sqref>R12:R83</xm:sqref>
        </x14:dataValidation>
        <x14:dataValidation type="list" allowBlank="1" showInputMessage="1" showErrorMessage="1" xr:uid="{265B479E-CCF3-4C80-8213-9D2945AD2C05}">
          <x14:formula1>
            <xm:f>lookups!$G$2:$G$4</xm:f>
          </x14:formula1>
          <xm:sqref>N12:N83</xm:sqref>
        </x14:dataValidation>
        <x14:dataValidation type="list" allowBlank="1" showInputMessage="1" showErrorMessage="1" xr:uid="{F2EBE5E7-D80F-44BB-B457-B680D14281C1}">
          <x14:formula1>
            <xm:f>lookups!$I$2:$I$4</xm:f>
          </x14:formula1>
          <xm:sqref>Q12:Q83</xm:sqref>
        </x14:dataValidation>
        <x14:dataValidation type="list" allowBlank="1" showInputMessage="1" showErrorMessage="1" xr:uid="{8FD249A4-0091-4DB1-8B8A-D2BD974EB91D}">
          <x14:formula1>
            <xm:f>lookups!$J$2:$J$11</xm:f>
          </x14:formula1>
          <xm:sqref>M12:M83</xm:sqref>
        </x14:dataValidation>
        <x14:dataValidation type="list" allowBlank="1" showInputMessage="1" showErrorMessage="1" xr:uid="{5FDC3091-B97C-4709-BFD4-E413338F6F66}">
          <x14:formula1>
            <xm:f>lookups!$K$2:$K$8</xm:f>
          </x14:formula1>
          <xm:sqref>K12:K83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B29" sqref="B29"/>
    </sheetView>
  </sheetViews>
  <sheetFormatPr defaultRowHeight="14.4" x14ac:dyDescent="0.3"/>
  <cols>
    <col min="1" max="4" width="26.21875" customWidth="1"/>
  </cols>
  <sheetData>
    <row r="1" spans="1:4" ht="42" customHeight="1" x14ac:dyDescent="0.3">
      <c r="A1" s="57" t="s">
        <v>291</v>
      </c>
      <c r="B1" s="58" t="s">
        <v>292</v>
      </c>
      <c r="C1" s="58" t="s">
        <v>293</v>
      </c>
      <c r="D1" s="59" t="s">
        <v>294</v>
      </c>
    </row>
    <row r="2" spans="1:4" x14ac:dyDescent="0.3">
      <c r="A2" s="16" t="s">
        <v>295</v>
      </c>
      <c r="B2" s="67">
        <v>3001371</v>
      </c>
      <c r="C2" s="68">
        <v>5175184</v>
      </c>
      <c r="D2" s="68"/>
    </row>
    <row r="3" spans="1:4" x14ac:dyDescent="0.3">
      <c r="A3" s="16" t="s">
        <v>296</v>
      </c>
      <c r="B3" s="67">
        <v>444783</v>
      </c>
      <c r="C3" s="68">
        <v>1268815</v>
      </c>
      <c r="D3" s="68"/>
    </row>
    <row r="4" spans="1:4" x14ac:dyDescent="0.3">
      <c r="A4" s="16" t="s">
        <v>297</v>
      </c>
      <c r="B4" s="67">
        <v>2156511</v>
      </c>
      <c r="C4" s="68">
        <v>5146105</v>
      </c>
      <c r="D4" s="68"/>
    </row>
    <row r="5" spans="1:4" x14ac:dyDescent="0.3">
      <c r="A5" s="16" t="s">
        <v>298</v>
      </c>
      <c r="B5" s="67">
        <v>845153</v>
      </c>
      <c r="C5" s="68">
        <v>4397869</v>
      </c>
      <c r="D5" s="68"/>
    </row>
    <row r="6" spans="1:4" x14ac:dyDescent="0.3">
      <c r="A6" s="16" t="s">
        <v>299</v>
      </c>
      <c r="B6" s="67">
        <v>13912768</v>
      </c>
      <c r="C6" s="68">
        <v>80884238</v>
      </c>
      <c r="D6" s="68"/>
    </row>
    <row r="7" spans="1:4" x14ac:dyDescent="0.3">
      <c r="A7" s="16" t="s">
        <v>300</v>
      </c>
      <c r="B7" s="67">
        <v>1542315</v>
      </c>
      <c r="C7" s="68">
        <v>16812290</v>
      </c>
      <c r="D7" s="68"/>
    </row>
    <row r="8" spans="1:4" x14ac:dyDescent="0.3">
      <c r="A8" s="16" t="s">
        <v>301</v>
      </c>
      <c r="B8" s="67">
        <v>854101</v>
      </c>
      <c r="C8" s="68">
        <v>4310318</v>
      </c>
      <c r="D8" s="68"/>
    </row>
    <row r="9" spans="1:4" x14ac:dyDescent="0.3">
      <c r="A9" s="16" t="s">
        <v>302</v>
      </c>
      <c r="B9" s="67">
        <v>347825</v>
      </c>
      <c r="C9" s="68">
        <v>420968</v>
      </c>
      <c r="D9" s="68"/>
    </row>
    <row r="10" spans="1:4" x14ac:dyDescent="0.3">
      <c r="A10" s="16" t="s">
        <v>303</v>
      </c>
      <c r="B10" s="67">
        <v>444231</v>
      </c>
      <c r="C10" s="68">
        <v>10563518</v>
      </c>
      <c r="D10" s="68"/>
    </row>
    <row r="11" spans="1:4" x14ac:dyDescent="0.3">
      <c r="A11" s="16" t="s">
        <v>304</v>
      </c>
      <c r="B11" s="67">
        <v>6122540</v>
      </c>
      <c r="C11" s="68">
        <v>102386</v>
      </c>
      <c r="D11" s="68"/>
    </row>
    <row r="12" spans="1:4" x14ac:dyDescent="0.3">
      <c r="A12" s="16" t="s">
        <v>305</v>
      </c>
      <c r="B12" s="67">
        <v>4302066</v>
      </c>
      <c r="C12" s="68">
        <v>1598829</v>
      </c>
      <c r="D12" s="68"/>
    </row>
    <row r="13" spans="1:4" x14ac:dyDescent="0.3">
      <c r="A13" s="16" t="s">
        <v>306</v>
      </c>
      <c r="B13" s="67">
        <v>100000</v>
      </c>
      <c r="C13" s="68">
        <v>34436</v>
      </c>
      <c r="D13" s="68"/>
    </row>
    <row r="14" spans="1:4" x14ac:dyDescent="0.3">
      <c r="A14" s="16" t="s">
        <v>307</v>
      </c>
      <c r="B14" s="67">
        <v>540131</v>
      </c>
      <c r="C14" s="68">
        <v>1542770</v>
      </c>
      <c r="D14" s="68"/>
    </row>
    <row r="15" spans="1:4" x14ac:dyDescent="0.3">
      <c r="A15" s="16" t="s">
        <v>308</v>
      </c>
      <c r="B15" s="67">
        <v>915588</v>
      </c>
      <c r="C15" s="68">
        <v>330544</v>
      </c>
      <c r="D15" s="68"/>
    </row>
    <row r="16" spans="1:4" x14ac:dyDescent="0.3">
      <c r="A16" s="16" t="s">
        <v>309</v>
      </c>
      <c r="B16" s="67">
        <v>7867326</v>
      </c>
      <c r="C16" s="68">
        <v>24522816</v>
      </c>
      <c r="D16" s="68"/>
    </row>
    <row r="17" spans="1:4" x14ac:dyDescent="0.3">
      <c r="A17" s="16" t="s">
        <v>310</v>
      </c>
      <c r="B17" s="67">
        <v>1427245</v>
      </c>
      <c r="C17" s="68">
        <v>4281179</v>
      </c>
      <c r="D17" s="68"/>
    </row>
    <row r="18" spans="1:4" x14ac:dyDescent="0.3">
      <c r="A18" s="16" t="s">
        <v>311</v>
      </c>
      <c r="B18" s="67">
        <v>499493</v>
      </c>
      <c r="C18" s="68">
        <v>674351</v>
      </c>
      <c r="D18" s="68"/>
    </row>
    <row r="19" spans="1:4" x14ac:dyDescent="0.3">
      <c r="A19" s="16" t="s">
        <v>312</v>
      </c>
      <c r="B19" s="67">
        <v>590081</v>
      </c>
      <c r="C19" s="68">
        <v>613441</v>
      </c>
      <c r="D19" s="68"/>
    </row>
    <row r="20" spans="1:4" x14ac:dyDescent="0.3">
      <c r="A20" s="16" t="s">
        <v>313</v>
      </c>
      <c r="B20" s="67">
        <v>1414039</v>
      </c>
      <c r="C20" s="68">
        <v>948690</v>
      </c>
      <c r="D20" s="68"/>
    </row>
    <row r="21" spans="1:4" x14ac:dyDescent="0.3">
      <c r="A21" s="16" t="s">
        <v>314</v>
      </c>
      <c r="B21" s="67">
        <v>1504382</v>
      </c>
      <c r="C21" s="68">
        <v>11898970</v>
      </c>
      <c r="D21" s="68"/>
    </row>
    <row r="22" spans="1:4" x14ac:dyDescent="0.3">
      <c r="A22" s="16" t="s">
        <v>315</v>
      </c>
      <c r="B22" s="67">
        <v>400606</v>
      </c>
      <c r="C22" s="68">
        <v>760337</v>
      </c>
      <c r="D22" s="68"/>
    </row>
    <row r="23" spans="1:4" x14ac:dyDescent="0.3">
      <c r="A23" s="16" t="s">
        <v>316</v>
      </c>
      <c r="B23" s="67">
        <v>2216740</v>
      </c>
      <c r="C23" s="68">
        <v>11041639</v>
      </c>
      <c r="D23" s="68"/>
    </row>
    <row r="24" spans="1:4" x14ac:dyDescent="0.3">
      <c r="A24" s="16" t="s">
        <v>317</v>
      </c>
      <c r="B24" s="67">
        <v>2999809</v>
      </c>
      <c r="C24" s="68">
        <v>5942834</v>
      </c>
      <c r="D24" s="68"/>
    </row>
    <row r="25" spans="1:4" x14ac:dyDescent="0.3">
      <c r="A25" s="16" t="s">
        <v>318</v>
      </c>
      <c r="B25" s="67">
        <v>2042857</v>
      </c>
      <c r="C25" s="68">
        <v>1049618</v>
      </c>
      <c r="D25" s="68"/>
    </row>
    <row r="26" spans="1:4" x14ac:dyDescent="0.3">
      <c r="A26" s="16" t="s">
        <v>1</v>
      </c>
      <c r="B26" s="67">
        <v>1282819</v>
      </c>
      <c r="C26" s="68">
        <v>4105728</v>
      </c>
      <c r="D26" s="68"/>
    </row>
    <row r="27" spans="1:4" x14ac:dyDescent="0.3">
      <c r="A27" s="16" t="s">
        <v>319</v>
      </c>
      <c r="B27" s="67">
        <v>1306915</v>
      </c>
      <c r="C27" s="68">
        <v>1538338</v>
      </c>
      <c r="D27" s="68"/>
    </row>
    <row r="28" spans="1:4" x14ac:dyDescent="0.3">
      <c r="A28" s="16" t="s">
        <v>320</v>
      </c>
      <c r="B28" s="67">
        <v>1484312</v>
      </c>
      <c r="C28" s="68">
        <v>3623768</v>
      </c>
      <c r="D28" s="68"/>
    </row>
    <row r="29" spans="1:4" x14ac:dyDescent="0.3">
      <c r="A29" s="16" t="s">
        <v>321</v>
      </c>
      <c r="B29" s="67">
        <v>207108</v>
      </c>
      <c r="C29" s="68">
        <v>89636</v>
      </c>
      <c r="D29" s="68"/>
    </row>
    <row r="30" spans="1:4" x14ac:dyDescent="0.3">
      <c r="A30" s="16" t="s">
        <v>322</v>
      </c>
      <c r="B30" s="67">
        <v>295386</v>
      </c>
      <c r="C30" s="68">
        <v>516734</v>
      </c>
      <c r="D30" s="68"/>
    </row>
    <row r="31" spans="1:4" x14ac:dyDescent="0.3">
      <c r="A31" s="16" t="s">
        <v>323</v>
      </c>
      <c r="B31" s="67">
        <v>1503375</v>
      </c>
      <c r="C31" s="68">
        <v>50332</v>
      </c>
      <c r="D31" s="68"/>
    </row>
    <row r="32" spans="1:4" x14ac:dyDescent="0.3">
      <c r="A32" s="16" t="s">
        <v>324</v>
      </c>
      <c r="B32" s="67">
        <v>186517</v>
      </c>
      <c r="C32" s="68">
        <v>68428</v>
      </c>
      <c r="D32" s="68"/>
    </row>
    <row r="33" spans="1:4" x14ac:dyDescent="0.3">
      <c r="A33" s="16" t="s">
        <v>325</v>
      </c>
      <c r="B33" s="67">
        <v>593088</v>
      </c>
      <c r="C33" s="68">
        <v>28186767</v>
      </c>
      <c r="D33" s="68"/>
    </row>
    <row r="34" spans="1:4" x14ac:dyDescent="0.3">
      <c r="A34" s="16" t="s">
        <v>326</v>
      </c>
      <c r="B34" s="67">
        <v>1426444</v>
      </c>
      <c r="C34" s="68">
        <v>10000</v>
      </c>
      <c r="D34" s="68"/>
    </row>
    <row r="35" spans="1:4" x14ac:dyDescent="0.3">
      <c r="A35" s="16" t="s">
        <v>327</v>
      </c>
      <c r="B35" s="67">
        <v>6276963</v>
      </c>
      <c r="C35" s="68">
        <v>95814665</v>
      </c>
      <c r="D35" s="68"/>
    </row>
    <row r="36" spans="1:4" x14ac:dyDescent="0.3">
      <c r="A36" s="16" t="s">
        <v>328</v>
      </c>
      <c r="B36" s="67">
        <v>3835353</v>
      </c>
      <c r="C36" s="68">
        <v>5845582</v>
      </c>
      <c r="D36" s="68"/>
    </row>
    <row r="37" spans="1:4" x14ac:dyDescent="0.3">
      <c r="A37" s="16" t="s">
        <v>329</v>
      </c>
      <c r="B37" s="67">
        <v>100000</v>
      </c>
      <c r="C37" s="68">
        <v>577666</v>
      </c>
      <c r="D37" s="68"/>
    </row>
    <row r="38" spans="1:4" x14ac:dyDescent="0.3">
      <c r="A38" s="16" t="s">
        <v>330</v>
      </c>
      <c r="B38" s="67">
        <v>2726487</v>
      </c>
      <c r="C38" s="68">
        <v>11475700</v>
      </c>
      <c r="D38" s="68"/>
    </row>
    <row r="39" spans="1:4" x14ac:dyDescent="0.3">
      <c r="A39" s="16" t="s">
        <v>331</v>
      </c>
      <c r="B39" s="67">
        <v>1986510</v>
      </c>
      <c r="C39" s="68">
        <v>5771131</v>
      </c>
      <c r="D39" s="68"/>
    </row>
    <row r="40" spans="1:4" x14ac:dyDescent="0.3">
      <c r="A40" s="16" t="s">
        <v>332</v>
      </c>
      <c r="B40" s="67">
        <v>2564273</v>
      </c>
      <c r="C40" s="68">
        <v>36551572</v>
      </c>
      <c r="D40" s="68"/>
    </row>
    <row r="41" spans="1:4" x14ac:dyDescent="0.3">
      <c r="A41" s="16" t="s">
        <v>333</v>
      </c>
      <c r="B41" s="67">
        <v>5124029</v>
      </c>
      <c r="C41" s="68">
        <v>11217343</v>
      </c>
      <c r="D41" s="68"/>
    </row>
    <row r="42" spans="1:4" x14ac:dyDescent="0.3">
      <c r="A42" s="16" t="s">
        <v>334</v>
      </c>
      <c r="B42" s="67">
        <v>372392</v>
      </c>
      <c r="C42" s="68">
        <v>2412953</v>
      </c>
      <c r="D42" s="68"/>
    </row>
    <row r="43" spans="1:4" x14ac:dyDescent="0.3">
      <c r="A43" s="16" t="s">
        <v>335</v>
      </c>
      <c r="B43" s="67">
        <v>1578228</v>
      </c>
      <c r="C43" s="68">
        <v>1384566</v>
      </c>
      <c r="D43" s="68"/>
    </row>
    <row r="44" spans="1:4" x14ac:dyDescent="0.3">
      <c r="A44" s="16" t="s">
        <v>336</v>
      </c>
      <c r="B44" s="67">
        <v>176820</v>
      </c>
      <c r="C44" s="68">
        <v>10000</v>
      </c>
      <c r="D44" s="68"/>
    </row>
    <row r="45" spans="1:4" x14ac:dyDescent="0.3">
      <c r="A45" s="16" t="s">
        <v>337</v>
      </c>
      <c r="B45" s="67">
        <v>2371598</v>
      </c>
      <c r="C45" s="68">
        <v>10548543</v>
      </c>
      <c r="D45" s="68"/>
    </row>
    <row r="46" spans="1:4" x14ac:dyDescent="0.3">
      <c r="A46" s="16" t="s">
        <v>338</v>
      </c>
      <c r="B46" s="67">
        <v>5259331</v>
      </c>
      <c r="C46" s="68">
        <v>9194500</v>
      </c>
      <c r="D46" s="68"/>
    </row>
    <row r="47" spans="1:4" x14ac:dyDescent="0.3">
      <c r="A47" s="16" t="s">
        <v>339</v>
      </c>
      <c r="B47" s="67">
        <v>377464</v>
      </c>
      <c r="C47" s="68">
        <v>34822</v>
      </c>
      <c r="D47" s="68"/>
    </row>
    <row r="48" spans="1:4" x14ac:dyDescent="0.3">
      <c r="A48" s="16" t="s">
        <v>340</v>
      </c>
      <c r="B48" s="67">
        <v>147853</v>
      </c>
      <c r="C48" s="68">
        <v>2677993</v>
      </c>
      <c r="D48" s="68"/>
    </row>
    <row r="49" spans="1:4" x14ac:dyDescent="0.3">
      <c r="A49" s="16" t="s">
        <v>341</v>
      </c>
      <c r="B49" s="67">
        <v>838196</v>
      </c>
      <c r="C49" s="68">
        <v>9393064</v>
      </c>
      <c r="D49" s="68"/>
    </row>
    <row r="50" spans="1:4" x14ac:dyDescent="0.3">
      <c r="A50" s="16" t="s">
        <v>342</v>
      </c>
      <c r="B50" s="67">
        <v>100000</v>
      </c>
      <c r="C50" s="68">
        <v>10000</v>
      </c>
      <c r="D50" s="68"/>
    </row>
    <row r="51" spans="1:4" x14ac:dyDescent="0.3">
      <c r="A51" s="16" t="s">
        <v>343</v>
      </c>
      <c r="B51" s="67">
        <v>2615422</v>
      </c>
      <c r="C51" s="68">
        <v>30566086</v>
      </c>
      <c r="D51" s="68"/>
    </row>
    <row r="52" spans="1:4" x14ac:dyDescent="0.3">
      <c r="A52" s="16" t="s">
        <v>344</v>
      </c>
      <c r="B52" s="67">
        <v>629008</v>
      </c>
      <c r="C52" s="68">
        <v>471918</v>
      </c>
      <c r="D52" s="68"/>
    </row>
    <row r="53" spans="1:4" x14ac:dyDescent="0.3">
      <c r="A53" s="16" t="s">
        <v>345</v>
      </c>
      <c r="B53" s="67">
        <v>1942148</v>
      </c>
      <c r="C53" s="68">
        <v>33794149</v>
      </c>
      <c r="D53" s="68"/>
    </row>
    <row r="54" spans="1:4" x14ac:dyDescent="0.3">
      <c r="A54" s="16" t="s">
        <v>346</v>
      </c>
      <c r="B54" s="67">
        <v>100000</v>
      </c>
      <c r="C54" s="68">
        <v>398871</v>
      </c>
      <c r="D54" s="68"/>
    </row>
    <row r="56" spans="1:4" x14ac:dyDescent="0.3">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3fb875a-8af9-4255-b008-0995492d31cd" xsi:nil="true"/>
    <lcf76f155ced4ddcb4097134ff3c332f xmlns="85a86e0a-8e3a-4eab-af2e-422ae879a662">
      <Terms xmlns="http://schemas.microsoft.com/office/infopath/2007/PartnerControls"/>
    </lcf76f155ced4ddcb4097134ff3c332f>
    <_dlc_DocId xmlns="8c5343f2-f10a-467e-bae2-c6b43f86b6ef">UZZDYTT6URQT-1534827174-3456</_dlc_DocId>
    <_dlc_DocIdUrl xmlns="8c5343f2-f10a-467e-bae2-c6b43f86b6ef">
      <Url>https://usdagcc.sharepoint.com/sites/FNCS-ROS/FNCS-ROSGeneralCollab/_layouts/15/DocIdRedir.aspx?ID=UZZDYTT6URQT-1534827174-3456</Url>
      <Description>UZZDYTT6URQT-1534827174-3456</Description>
    </_dlc_DocIdUrl>
    <NotesonUse xmlns="85a86e0a-8e3a-4eab-af2e-422ae879a662"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851E463603750242BE042A1C3B2080EF" ma:contentTypeVersion="18" ma:contentTypeDescription="Create a new document." ma:contentTypeScope="" ma:versionID="52a84dbcce8f6ea9515a906308a656b9">
  <xsd:schema xmlns:xsd="http://www.w3.org/2001/XMLSchema" xmlns:xs="http://www.w3.org/2001/XMLSchema" xmlns:p="http://schemas.microsoft.com/office/2006/metadata/properties" xmlns:ns2="8c5343f2-f10a-467e-bae2-c6b43f86b6ef" xmlns:ns3="85a86e0a-8e3a-4eab-af2e-422ae879a662" xmlns:ns4="73fb875a-8af9-4255-b008-0995492d31cd" targetNamespace="http://schemas.microsoft.com/office/2006/metadata/properties" ma:root="true" ma:fieldsID="e9dced30ff283e2b95f14a25e1690c9c" ns2:_="" ns3:_="" ns4:_="">
    <xsd:import namespace="8c5343f2-f10a-467e-bae2-c6b43f86b6ef"/>
    <xsd:import namespace="85a86e0a-8e3a-4eab-af2e-422ae879a662"/>
    <xsd:import namespace="73fb875a-8af9-4255-b008-0995492d31c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4:TaxCatchAll" minOccurs="0"/>
                <xsd:element ref="ns3:MediaServiceOCR" minOccurs="0"/>
                <xsd:element ref="ns3:MediaServiceGenerationTime" minOccurs="0"/>
                <xsd:element ref="ns3:MediaServiceEventHashCode" minOccurs="0"/>
                <xsd:element ref="ns3:MediaServiceDateTaken" minOccurs="0"/>
                <xsd:element ref="ns3:MediaServiceObjectDetectorVersions" minOccurs="0"/>
                <xsd:element ref="ns3:MediaLengthInSeconds" minOccurs="0"/>
                <xsd:element ref="ns3:NotesonUse"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5343f2-f10a-467e-bae2-c6b43f86b6ef" elementFormDefault="qualified">
    <xsd:import namespace="http://schemas.microsoft.com/office/2006/documentManagement/types"/>
    <xsd:import namespace="http://schemas.microsoft.com/office/infopath/2007/PartnerControls"/>
    <xsd:element name="_dlc_DocId" ma:index="5" nillable="true" ma:displayName="Document ID Value" ma:description="The value of the document ID assigned to this item." ma:indexed="true" ma:internalName="_dlc_DocId" ma:readOnly="true">
      <xsd:simpleType>
        <xsd:restriction base="dms:Text"/>
      </xsd:simpleType>
    </xsd:element>
    <xsd:element name="_dlc_DocIdUrl" ma:index="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7"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a86e0a-8e3a-4eab-af2e-422ae879a66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NotesonUse" ma:index="24" nillable="true" ma:displayName="Notes" ma:format="Dropdown" ma:internalName="NotesonUs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Location" ma:index="26"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07c83cc1-31aa-415d-a14c-677b5cd24acc}" ma:internalName="TaxCatchAll" ma:showField="CatchAllData" ma:web="8c5343f2-f10a-467e-bae2-c6b43f86b6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29C5A2-5A47-49CE-95CF-41A36848027F}">
  <ds:schemaRefs>
    <ds:schemaRef ds:uri="http://schemas.microsoft.com/office/2006/documentManagement/types"/>
    <ds:schemaRef ds:uri="http://www.w3.org/XML/1998/namespace"/>
    <ds:schemaRef ds:uri="8c5343f2-f10a-467e-bae2-c6b43f86b6ef"/>
    <ds:schemaRef ds:uri="73fb875a-8af9-4255-b008-0995492d31cd"/>
    <ds:schemaRef ds:uri="85a86e0a-8e3a-4eab-af2e-422ae879a662"/>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79846DD7-A9CD-4479-ACE5-B18E00B1A78E}">
  <ds:schemaRefs>
    <ds:schemaRef ds:uri="http://schemas.microsoft.com/sharepoint/events"/>
  </ds:schemaRefs>
</ds:datastoreItem>
</file>

<file path=customXml/itemProps3.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4.xml><?xml version="1.0" encoding="utf-8"?>
<ds:datastoreItem xmlns:ds="http://schemas.openxmlformats.org/officeDocument/2006/customXml" ds:itemID="{E89A9382-7120-4728-AC86-D53607AB83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5343f2-f10a-467e-bae2-c6b43f86b6ef"/>
    <ds:schemaRef ds:uri="85a86e0a-8e3a-4eab-af2e-422ae879a662"/>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H- Estimated Participant Levels</vt:lpstr>
      <vt:lpstr>SWBL Tool</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OET</dc:creator>
  <cp:keywords/>
  <dc:description/>
  <cp:lastModifiedBy>Mengesha, Isabelle - FNS</cp:lastModifiedBy>
  <cp:revision/>
  <dcterms:created xsi:type="dcterms:W3CDTF">2019-10-18T16:48:06Z</dcterms:created>
  <dcterms:modified xsi:type="dcterms:W3CDTF">2024-12-20T19:52:52Z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0x010100851E463603750242BE042A1C3B2080EF</vt:lpwstr>
  </property>
  <property fmtid="{D5CDD505-2E9C-101B-9397-08002B2CF9AE}" pid="3" name="MediaServiceImageTags">
    <vt:lpwstr/>
  </property>
  <property fmtid="{D5CDD505-2E9C-101B-9397-08002B2CF9AE}" pid="4" name="_dlc_DocIdItemGuid">
    <vt:lpwstr>ba7d82eb-0401-441e-a7e3-2379603b8625</vt:lpwstr>
  </property>
</Properties>
</file>