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State Plans by Year\FY 2025 E&amp;T Plans\Approved Plans\508 Compliant Plans for Website\MI\"/>
    </mc:Choice>
  </mc:AlternateContent>
  <xr:revisionPtr revIDLastSave="0" documentId="13_ncr:1_{84E57B25-2A68-4941-B102-7C35F8A3A907}" xr6:coauthVersionLast="47" xr6:coauthVersionMax="47" xr10:uidLastSave="{00000000-0000-0000-0000-000000000000}"/>
  <bookViews>
    <workbookView xWindow="28680" yWindow="-120" windowWidth="29040" windowHeight="15720" firstSheet="4" activeTab="7"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state="hidden"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W27" i="5"/>
  <c r="V27" i="5"/>
  <c r="U27" i="5"/>
  <c r="T27" i="5"/>
  <c r="X27" i="5" s="1"/>
  <c r="Q27" i="5"/>
  <c r="P27" i="5"/>
  <c r="O27" i="5"/>
  <c r="N27" i="5"/>
  <c r="R27" i="5" s="1"/>
  <c r="R28" i="5" l="1"/>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V4" i="5" l="1"/>
  <c r="W4" i="5"/>
  <c r="P4" i="5"/>
  <c r="N4" i="5"/>
  <c r="O4" i="5"/>
  <c r="U4" i="5"/>
  <c r="Q4" i="5"/>
  <c r="T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X4" i="5" l="1"/>
  <c r="R4" i="5"/>
  <c r="O14" i="3"/>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<sst xmlns="http://schemas.openxmlformats.org/spreadsheetml/2006/main" count="746" uniqueCount="465">
  <si>
    <t>State Name (choose from drop down list)</t>
  </si>
  <si>
    <t>MICHIGAN</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</si>
  <si>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</si>
  <si>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</si>
  <si>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</si>
  <si>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</si>
  <si>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</si>
  <si>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</si>
  <si>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</si>
  <si>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</si>
  <si>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</si>
  <si>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</si>
  <si>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</si>
  <si>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</si>
  <si>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</si>
  <si>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</si>
  <si>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</si>
  <si>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</si>
  <si>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</si>
  <si>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</si>
  <si>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</si>
  <si>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</si>
  <si>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</si>
  <si>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</si>
  <si>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</si>
  <si>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</si>
  <si>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</si>
  <si>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</si>
  <si>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</si>
  <si>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LEO-WD</t>
  </si>
  <si>
    <t>Yes</t>
  </si>
  <si>
    <t>No</t>
  </si>
  <si>
    <t>Berrien-Cass-VanBuren MWA</t>
  </si>
  <si>
    <t>E&amp;T Services</t>
  </si>
  <si>
    <t>Capital Area MWA</t>
  </si>
  <si>
    <t>DESC MWA</t>
  </si>
  <si>
    <t>Great Lakes Bay MWA</t>
  </si>
  <si>
    <t>GST MWA</t>
  </si>
  <si>
    <t>Michigan Works! Southeast</t>
  </si>
  <si>
    <t>Oakland County MWA</t>
  </si>
  <si>
    <t>SEMCA MWA</t>
  </si>
  <si>
    <t>Southwest MWA</t>
  </si>
  <si>
    <t>West Michigan Works! (WMW!)</t>
  </si>
  <si>
    <t>DESC, Plus Provider as Intermediary</t>
  </si>
  <si>
    <t>DESC Plus Contractors</t>
  </si>
  <si>
    <t>WMW! Plus Contractors</t>
  </si>
  <si>
    <t>SEMCA Plus Contractors</t>
  </si>
  <si>
    <t>GST Plus Contractors</t>
  </si>
  <si>
    <t>GST, Plus Provider as Intermediary</t>
  </si>
  <si>
    <t>Oakland County, Plus Provider as Intermediary</t>
  </si>
  <si>
    <t>Southwest, Plus Provider as Intermediary</t>
  </si>
  <si>
    <t>Northeast, Plus Provider as Intermediary</t>
  </si>
  <si>
    <t>Michigan Works! West Central, Plus Provider as Intermediary</t>
  </si>
  <si>
    <t>UPMW, Plus Provider as Intermediary</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</si>
  <si>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</si>
  <si>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</si>
  <si>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</si>
  <si>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</si>
  <si>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</si>
  <si>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</si>
  <si>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</si>
  <si>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</si>
  <si>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</si>
  <si>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</si>
  <si>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</si>
  <si>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</si>
  <si>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Berrien-Cass-Van Buren MWA Direct Delivery</t>
  </si>
  <si>
    <t>Berrien County</t>
  </si>
  <si>
    <t>N/A</t>
  </si>
  <si>
    <t>Supervised Job Search, Job Search Training, Basic Ed/Foundational Skills, English Language Acquisition, EEST-Work Readiness, Vocational Training, Work Experience-Work Activity, Work-Based Learning-Transitional Job Unsubsidized, Job Retention Services, and Workfare</t>
  </si>
  <si>
    <t>Breathalyzer for Vehicles, Cellular phone/internet service;  clothing; drug tests/fingerprinting; fees associated with E&amp;T activity, union dues, testing, licensing or bonding and background checks; laptop/tablet; legal services for expunging criminal record for employment; medical services; Michigan ID, driving permit, skills test and driver's license; training materials/supplies; personal grooming supplies/services;  transportation; and work/training tools.</t>
  </si>
  <si>
    <t>LEO-WD / Capital Area MWA</t>
  </si>
  <si>
    <t>Peckham</t>
  </si>
  <si>
    <t>Ingham County</t>
  </si>
  <si>
    <t>LEO-WD / Detroit Employment Solutions Corp (DESC), MWA</t>
  </si>
  <si>
    <t>JVS/ResCare partnership</t>
  </si>
  <si>
    <t>City of Detroit</t>
  </si>
  <si>
    <t>Supervised Job Search, Job Search Training; Basic Ed/Foundational Skills, English Language Acquisition, EEST-Work Readiness, Vocational Training, Work Experience-Work Activity, Job Retention Services, and Workfare</t>
  </si>
  <si>
    <t>LEO-WD / DESC MWA</t>
  </si>
  <si>
    <t>Goodwill/SERCO partnership</t>
  </si>
  <si>
    <t>Ross Innovative Employment Solutions</t>
  </si>
  <si>
    <t>LEO-WD / DESC Plus Intermediary</t>
  </si>
  <si>
    <t>Center for Employment Opportunities (CEO)</t>
  </si>
  <si>
    <t>Work-Based Learning-Transitional Job Subsidized by E&amp;T, Supervised Job Search, and Job Retention Services.</t>
  </si>
  <si>
    <t>Work boots and public transportation.</t>
  </si>
  <si>
    <t>Focus: HOPE</t>
  </si>
  <si>
    <t>EEST-Work Readiness and Vocational Training</t>
  </si>
  <si>
    <t>Clothing, eye glasses and transportation.</t>
  </si>
  <si>
    <t>International Institute of Metropolitan Detroit (IIMD)</t>
  </si>
  <si>
    <r>
      <rPr>
        <sz val="11"/>
        <rFont val="Times New Roman"/>
        <family val="1"/>
      </rPr>
      <t>Job Search Training; Basic Ed/Foundational Skills</t>
    </r>
    <r>
      <rPr>
        <sz val="11"/>
        <color rgb="FFFF0000"/>
        <rFont val="Times New Roman"/>
        <family val="1"/>
      </rPr>
      <t>,</t>
    </r>
    <r>
      <rPr>
        <sz val="11"/>
        <rFont val="Times New Roman"/>
        <family val="1"/>
      </rPr>
      <t xml:space="preserve"> English Language Acquisition,</t>
    </r>
    <r>
      <rPr>
        <sz val="11"/>
        <color rgb="FFFF0000"/>
        <rFont val="Times New Roman"/>
        <family val="1"/>
      </rPr>
      <t xml:space="preserve"> </t>
    </r>
    <r>
      <rPr>
        <sz val="11"/>
        <rFont val="Times New Roman"/>
        <family val="1"/>
      </rPr>
      <t>EEST-Work Readiness, Supervised Job Search, Vocational Training and Job Rentention Services</t>
    </r>
  </si>
  <si>
    <t>Public transportation, Textbooks and materials, work clothing, CNA certification fees</t>
  </si>
  <si>
    <t xml:space="preserve">Payne Pulliam </t>
  </si>
  <si>
    <t>Basic Ed/Foundational Skills, EEST-Work Readiness, Vocational Training, Supervised Job Search, and Job Search Training</t>
  </si>
  <si>
    <t>Clothing, drug tests, fees, housing assistance, personal grooming, technology equipment, transportation, work and training tools</t>
  </si>
  <si>
    <t>Southwest Economic Solutions</t>
  </si>
  <si>
    <t xml:space="preserve"> Vocational Training</t>
  </si>
  <si>
    <t xml:space="preserve">Clothing; drug testing;  educational/credential testing fees; textbooks; and transportation </t>
  </si>
  <si>
    <t>St. Vincent Sarah Fisher Center</t>
  </si>
  <si>
    <t>Basic Ed/Foundational Skills</t>
  </si>
  <si>
    <t>Allowable supportive services provided by DESC as needed</t>
  </si>
  <si>
    <t>Wayne Metropolitan Community Action Agency</t>
  </si>
  <si>
    <t>Vocational Training</t>
  </si>
  <si>
    <t>Drug tests/fingerprinting; fees associated with E&amp;T activity, union dues, testing, licensing or bonding and background checks; laptop/tablet;  training materials/supplies.</t>
  </si>
  <si>
    <t>LEO-WD / Great Lakes Bay MWA</t>
  </si>
  <si>
    <t>SVRC Industries, Inc</t>
  </si>
  <si>
    <t>Bay, Midland and Saginaw Counties</t>
  </si>
  <si>
    <t>Cellular phone/internet service;  clothing; drug tests/fingerprinting; fees associated with E&amp;T activity, union dues, testing, licensing or bonding and background checks; laptop/tablet; legal services for expunging criminal record for employment; medical services; Michigan ID, driving permit, skills test and driver's license; training materials/supplies; personal grooming supplies/services;  transportation; and work/training tools.</t>
  </si>
  <si>
    <t>Gratiot Isabella Regional Education School District</t>
  </si>
  <si>
    <t>Gratiot and Isabella Counties</t>
  </si>
  <si>
    <t>GST MW! Direct Delivery</t>
  </si>
  <si>
    <t>Huron, Lapeer, Sanilac, and Tuscola Counties</t>
  </si>
  <si>
    <t>LEO-WD / GST MWA</t>
  </si>
  <si>
    <t>Action Management</t>
  </si>
  <si>
    <t>Genesee County</t>
  </si>
  <si>
    <t>Shiawassee County</t>
  </si>
  <si>
    <t>LEO-WD / GST MWA Plus Intermediary</t>
  </si>
  <si>
    <t>Carriage Town Ministries</t>
  </si>
  <si>
    <t>Work Based Learning: Transitional Jobs Subsidized by E&amp;T, EEST - Work Readiness, Job Retention Services</t>
  </si>
  <si>
    <t>Clothing, Transportation</t>
  </si>
  <si>
    <t>Mott Community College</t>
  </si>
  <si>
    <t>Basic Ed/Foundational Skills, EEST - Work Readiness, Supervised Job Search, Vocational Training, Job Retention Services</t>
  </si>
  <si>
    <t>Michigan Identification, Technology and Equipment, Transportation, Work Clothing, Work Tools &amp; Equipment</t>
  </si>
  <si>
    <t>Phalan Leadership Acadamies University</t>
  </si>
  <si>
    <t>Vocational Training, EEST-Work Readiness, Job Retention Services</t>
  </si>
  <si>
    <t>Training materials/supplies, clothing, transportation, technology equipment</t>
  </si>
  <si>
    <t>St. Lukes</t>
  </si>
  <si>
    <t>City of Flint</t>
  </si>
  <si>
    <t>Work Based Learning: Transitional Jobs Subsidized by E&amp;T,  EEST, Job Retention Services</t>
  </si>
  <si>
    <t>Transportation, Fees, Drug Tests, Legal Services</t>
  </si>
  <si>
    <t>MW! Southeast Consortium Direct Delivery</t>
  </si>
  <si>
    <t>Hillsdale, Jackson, Lenawee, Livingston, and Washtenaw Counties</t>
  </si>
  <si>
    <t>LEO-WD / Oakland County MWA</t>
  </si>
  <si>
    <t>Foundation for Behavioral Resources</t>
  </si>
  <si>
    <t>Oakland County</t>
  </si>
  <si>
    <t>LEO-WD / SEMCA MWA</t>
  </si>
  <si>
    <t>Monroe County Employment and Training</t>
  </si>
  <si>
    <t>Monroe County</t>
  </si>
  <si>
    <t>Employment Training and Design, Inc</t>
  </si>
  <si>
    <t>Wayne County (outside the City of Detroit)</t>
  </si>
  <si>
    <t>LEO-WD /SEMCA Plus Intermediary</t>
  </si>
  <si>
    <t>LEO-WD / SEMCA Plus Intermediary</t>
  </si>
  <si>
    <t>Job Search Training; Basic Ed/Foundational Skills, English Language Acquisition, EEST-Work Readiness, Supervised Job Search, Vocational Training and Job Rentention Services</t>
  </si>
  <si>
    <t>Public transportation, textbooks and materials, CAN certification fees, Work clothes</t>
  </si>
  <si>
    <t>Laptops, health screenings, registration fees, membership fees, books</t>
  </si>
  <si>
    <t>Southwest MWA Direct Delivery</t>
  </si>
  <si>
    <t>Branch, Calhoun, Kalamazoo, and St. Joseph Counties</t>
  </si>
  <si>
    <t>West Michigan Works! Direct Delivery</t>
  </si>
  <si>
    <t>Allegan, Barry, Ionia, Kent, Montcalm, Muskegon and Ottawa Counties</t>
  </si>
  <si>
    <t>LEO-WD / WMW! Plus Intermediary</t>
  </si>
  <si>
    <t>Good Samaritan Ministries</t>
  </si>
  <si>
    <t>Ottawa County</t>
  </si>
  <si>
    <t>EEST-Work Readiness</t>
  </si>
  <si>
    <t>Provided outside of E&amp;T funding</t>
  </si>
  <si>
    <t>West MI Center for Arts + Technology</t>
  </si>
  <si>
    <t>Kent County</t>
  </si>
  <si>
    <t>Vocational Training, Work-Based Learning: Internship</t>
  </si>
  <si>
    <t>Course fees; housing assistance (limited to 2 months); training materials &amp; supplies; and transportation.</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</si>
  <si>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</si>
  <si>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</si>
  <si>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</si>
  <si>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</si>
  <si>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</si>
  <si>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</si>
  <si>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</si>
  <si>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</si>
  <si>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</si>
  <si>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</si>
  <si>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</si>
  <si>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</si>
  <si>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</si>
  <si>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</si>
  <si>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</si>
  <si>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</si>
  <si>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</si>
  <si>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</si>
  <si>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</si>
  <si>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</si>
  <si>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</si>
  <si>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</si>
  <si>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</si>
  <si>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</si>
  <si>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</si>
  <si>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</si>
  <si>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</si>
  <si>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</si>
  <si>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</si>
  <si>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</si>
  <si>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</si>
  <si>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</si>
  <si>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</si>
  <si>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</si>
  <si>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</si>
  <si>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</si>
  <si>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</si>
  <si>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</si>
  <si>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</si>
  <si>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</si>
  <si>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</si>
  <si>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</si>
  <si>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</si>
  <si>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</si>
  <si>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</si>
  <si>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</si>
  <si>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</si>
  <si>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</si>
  <si>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</si>
  <si>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</si>
  <si>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</si>
  <si>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</si>
  <si>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</si>
  <si>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</si>
  <si>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</si>
  <si>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</si>
  <si>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</si>
  <si>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</si>
  <si>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</si>
  <si>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</si>
  <si>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</si>
  <si>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</si>
  <si>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</si>
  <si>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</si>
  <si>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</si>
  <si>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</si>
  <si>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</si>
  <si>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</si>
  <si>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</si>
  <si>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</si>
  <si>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</si>
  <si>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</si>
  <si>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</si>
  <si>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</si>
  <si>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</si>
  <si>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</si>
  <si>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</si>
  <si>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</si>
  <si>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</si>
  <si>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</si>
  <si>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</si>
  <si>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</si>
  <si>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</si>
  <si>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</si>
  <si>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</si>
  <si>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</si>
  <si>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</si>
  <si>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</si>
  <si>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</si>
  <si>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</si>
  <si>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</si>
  <si>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</si>
  <si>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</si>
  <si>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</si>
  <si>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</si>
  <si>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</si>
  <si>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</si>
  <si>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</si>
  <si>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</si>
  <si>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</si>
  <si>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</si>
  <si>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</si>
  <si>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</si>
  <si>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</si>
  <si>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</si>
  <si>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</si>
  <si>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</si>
  <si>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</si>
  <si>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</si>
  <si>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</si>
  <si>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All work registrants</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</si>
  <si>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</si>
  <si>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</si>
  <si>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</si>
  <si>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</si>
  <si>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</si>
  <si>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</si>
  <si>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</si>
  <si>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</si>
  <si>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</si>
  <si>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</si>
  <si>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</si>
  <si>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</si>
  <si>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</si>
  <si>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</si>
  <si>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</si>
  <si>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</si>
  <si>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</si>
  <si>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</si>
  <si>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</si>
  <si>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</si>
  <si>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</si>
  <si>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</si>
  <si>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</si>
  <si>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</si>
  <si>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</si>
  <si>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</si>
  <si>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</si>
  <si>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</si>
  <si>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</si>
  <si>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</si>
  <si>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</si>
  <si>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</si>
  <si>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</si>
  <si>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</si>
  <si>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</si>
  <si>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</si>
  <si>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</si>
  <si>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</si>
  <si>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</si>
  <si>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</si>
  <si>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</si>
  <si>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</si>
  <si>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</si>
  <si>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</si>
  <si>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</si>
  <si>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</si>
  <si>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</si>
  <si>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</si>
  <si>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</si>
  <si>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</si>
  <si>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</si>
  <si>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</si>
  <si>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</si>
  <si>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</si>
  <si>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</si>
  <si>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</si>
  <si>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</si>
  <si>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</si>
  <si>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LEO-WD/DESC/Center for Employment Opportunities (CEO)</t>
  </si>
  <si>
    <t>Transitional Jobs (WBLTJ-Sub)</t>
  </si>
  <si>
    <t>Yes by SWBL Provider</t>
  </si>
  <si>
    <t xml:space="preserve">Transitional work crew partners permanently place applicable and interested participants into their respective companies, ensuring that a pipeline to permanent placement via CEO transitional work crews is a realistic pathway for individuals. Additionally, CEO works with SWBL graduates to promtly move them into unsubsidized employment. CEO uses labor market data to inform participants' job placement.Additional information can be found in the State Plan component.  </t>
  </si>
  <si>
    <t>4 months</t>
  </si>
  <si>
    <t>Multiple Industries</t>
  </si>
  <si>
    <t>Basic Skills Gain</t>
  </si>
  <si>
    <t>Not Applicable</t>
  </si>
  <si>
    <t xml:space="preserve">E&amp;T Provider is employer of record and receives wage subsidy as employer </t>
  </si>
  <si>
    <t>E&amp;T Provider</t>
  </si>
  <si>
    <t xml:space="preserve"> Michigan DOL &amp; Economic Opportunity - LEO, SOCRRA, HMSA, Ballmer Foundation, Trinity Health</t>
  </si>
  <si>
    <t>Workers compensation and payroll taxes</t>
  </si>
  <si>
    <t>LEO-WD/SEMCA/Center for Employment Opportunities (CEO)</t>
  </si>
  <si>
    <t>Transitional work crew partners permanently place applicable and interested participants into their respective companies, ensuring that a pipeline to permanent placement via CEO transitional work crews is a realistic pathway for individuals. Additionally, CEO works with SWBL graduates to promtly move them into unsubsidized employment. CEO uses labor market data to inform participants' job placement.Additional information can be found in the State Plan component.</t>
  </si>
  <si>
    <t>LEO-WD/GST/Carriage Town Ministries</t>
  </si>
  <si>
    <t>If the participant completes their SWBL employment learning all the necessary skills, they should be employable in their selected career field as an entry level employee. This articulated and documented path is designed to lead to regular, unsubsidized employment. Occasionally, the work site employer may hire a program graduate if an open position suiting their experience and qualifications is available. However, the focus will primarily be on moving participants into regular employment. Carriage Town Ministries has also hired transitional employees into full-time unsubsidized employment in food service/baking and maintenance/janitorial.</t>
  </si>
  <si>
    <t>3 months</t>
  </si>
  <si>
    <t>Industry Skills Gain</t>
  </si>
  <si>
    <t>Philanthropic - Individuals, churches and service groups; Income from social enterprise - bakery</t>
  </si>
  <si>
    <t>LEO-WD/GST/St. Lukes</t>
  </si>
  <si>
    <t>Once the participant has created a routing, a monthly budget and a resume, job profile, participated in employment tours for local employers and identified what they would like their next steps to be, St. Lukes then works to move them forward to the “second job.”  This job is outside of the organization and has been identified through Indeed, employer partners or other referrals.  The most consistent placements have been with Peckham Industries, Northgate, Lear, St. John Vianney Church and School and Applewood Estate.  The jobs are generally within the industrial sewing, lawn care and snow maintenance and janitorial fields.  The employers listed above have all hired participants from the program.  Each employer is identified based on the skills that St. Lukes cultivates within their social enterprises.</t>
  </si>
  <si>
    <t>Ruth Mott Foundation and C.S. Mott Foundation; Philanthropic - Individual Donors; Income from industrial sewing and landscaping social enterprice businesses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</si>
  <si>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</si>
  <si>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</si>
  <si>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</si>
  <si>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</si>
  <si>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</si>
  <si>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</si>
  <si>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</si>
  <si>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</si>
  <si>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</si>
  <si>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</si>
  <si>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</si>
  <si>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</si>
  <si>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</si>
  <si>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</si>
  <si>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</si>
  <si>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</si>
  <si>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</si>
  <si>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</si>
  <si>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</si>
  <si>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</si>
  <si>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</si>
  <si>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</si>
  <si>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</si>
  <si>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</si>
  <si>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</si>
  <si>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</si>
  <si>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</si>
  <si>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</si>
  <si>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</si>
  <si>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</si>
  <si>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</si>
  <si>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</si>
  <si>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</si>
  <si>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</si>
  <si>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</si>
  <si>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</si>
  <si>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</si>
  <si>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</si>
  <si>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</si>
  <si>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</si>
  <si>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</si>
  <si>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</si>
  <si>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</si>
  <si>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</si>
  <si>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</si>
  <si>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</si>
  <si>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</si>
  <si>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</si>
  <si>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</si>
  <si>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</si>
  <si>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</si>
  <si>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</si>
  <si>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</si>
  <si>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</si>
  <si>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</si>
  <si>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</si>
  <si>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</si>
  <si>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</si>
  <si>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</si>
  <si>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</si>
  <si>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</si>
  <si>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</si>
  <si>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</si>
  <si>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</si>
  <si>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</si>
  <si>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</si>
  <si>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</si>
  <si>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</si>
  <si>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</si>
  <si>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</si>
  <si>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</si>
  <si>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Attainment of Certificate/Credential</t>
  </si>
  <si>
    <t>State agency</t>
  </si>
  <si>
    <t>Construction</t>
  </si>
  <si>
    <t>1 month</t>
  </si>
  <si>
    <t>Tab A - Column C - 100% Adm</t>
  </si>
  <si>
    <t>FY2021</t>
  </si>
  <si>
    <t>Pre-Apprenticeship (WBLPA-Sub)</t>
  </si>
  <si>
    <t>If 50/50 Funds are used</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</si>
  <si>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</si>
  <si>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</si>
  <si>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</si>
  <si>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</si>
  <si>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</si>
  <si>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</si>
  <si>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</si>
  <si>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Worksite Employer</t>
  </si>
  <si>
    <t>SA contracts with both E&amp;T Provider and Employers</t>
  </si>
  <si>
    <t>Foodservice</t>
  </si>
  <si>
    <t>Tab E - Optional County 100% Adm</t>
  </si>
  <si>
    <t>FY2023</t>
  </si>
  <si>
    <t>Marketing</t>
  </si>
  <si>
    <t>Healthcare services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</si>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</sst>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FF0000"/>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xf numFmtId="0" fontId="1" fillId="0" borderId="0"/>
  </cellStyleXfs>
  <cellXfs count="379">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4" fillId="0" borderId="4"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5" xfId="0" applyFont="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7" fillId="0" borderId="6" xfId="0" applyFont="1" applyBorder="1" applyAlignment="1">
      <alignment horizontal="center"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7" fillId="2" borderId="31" xfId="0" applyFont="1" applyFill="1" applyBorder="1" applyAlignment="1">
      <alignment horizontal="left"/>
    </xf>
    <xf numFmtId="0" fontId="7" fillId="2" borderId="32" xfId="0" applyFont="1" applyFill="1" applyBorder="1" applyAlignment="1">
      <alignment horizontal="left"/>
    </xf>
    <xf numFmtId="0" fontId="7" fillId="2" borderId="33" xfId="0" applyFont="1" applyFill="1" applyBorder="1" applyAlignment="1">
      <alignment horizontal="left"/>
    </xf>
    <xf numFmtId="0" fontId="4" fillId="0" borderId="4"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7" fillId="0" borderId="6" xfId="0" applyFont="1" applyBorder="1" applyAlignment="1">
      <alignment horizontal="left"/>
    </xf>
    <xf numFmtId="0" fontId="12" fillId="0" borderId="4" xfId="0" applyFont="1" applyBorder="1" applyAlignment="1">
      <alignment horizontal="left"/>
    </xf>
    <xf numFmtId="0" fontId="12" fillId="0" borderId="0" xfId="0" applyFont="1" applyAlignment="1">
      <alignment horizontal="left"/>
    </xf>
    <xf numFmtId="0" fontId="12" fillId="0" borderId="5"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12" fillId="0" borderId="25" xfId="0" applyFont="1" applyBorder="1" applyAlignment="1">
      <alignment horizontal="left"/>
    </xf>
    <xf numFmtId="0" fontId="12" fillId="0" borderId="26" xfId="0" applyFont="1" applyBorder="1" applyAlignment="1">
      <alignment horizontal="left"/>
    </xf>
    <xf numFmtId="0" fontId="12" fillId="0" borderId="27" xfId="0" applyFont="1" applyBorder="1" applyAlignment="1">
      <alignment horizontal="left"/>
    </xf>
    <xf numFmtId="0" fontId="12" fillId="0" borderId="16" xfId="0" applyFont="1" applyBorder="1" applyAlignment="1">
      <alignment horizontal="left"/>
    </xf>
    <xf numFmtId="0" fontId="7" fillId="0" borderId="15" xfId="0" applyFont="1" applyBorder="1" applyAlignment="1">
      <alignment horizontal="left"/>
    </xf>
    <xf numFmtId="0" fontId="7" fillId="0" borderId="17"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12" fillId="0" borderId="22" xfId="0" applyFont="1" applyBorder="1" applyAlignment="1">
      <alignment horizontal="left"/>
    </xf>
    <xf numFmtId="0" fontId="12" fillId="0" borderId="7" xfId="0" applyFont="1" applyBorder="1" applyAlignment="1">
      <alignment horizontal="left"/>
    </xf>
    <xf numFmtId="0" fontId="12" fillId="0" borderId="6" xfId="0" applyFont="1" applyBorder="1" applyAlignment="1">
      <alignment horizontal="left"/>
    </xf>
    <xf numFmtId="0" fontId="12" fillId="0" borderId="8" xfId="0" applyFont="1" applyBorder="1" applyAlignment="1">
      <alignment horizontal="left"/>
    </xf>
    <xf numFmtId="0" fontId="4" fillId="0" borderId="7" xfId="0" applyFont="1" applyBorder="1" applyAlignment="1">
      <alignment horizontal="left"/>
    </xf>
  </cellXfs>
  <cellStyles count="8">
    <cellStyle name="Comma" xfId="5" builtinId="3"/>
    <cellStyle name="Comma 2" xfId="4" xr:uid="{00000000-0005-0000-0000-000000000000}"/>
    <cellStyle name="Currency" xfId="1" builtinId="4"/>
    <cellStyle name="Normal" xfId="0" builtinId="0"/>
    <cellStyle name="Normal 11" xfId="7" xr:uid="{C70AC51B-43ED-4D3D-860B-E61D1748E331}"/>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6" zoomScaleNormal="86" workbookViewId="0">
      <selection activeCell="B6" sqref="B6"/>
    </sheetView>
  </sheetViews>
  <sheetFormatPr defaultColWidth="8.5546875" defaultRowHeight="13.8" x14ac:dyDescent="0.25"/>
  <cols>
    <col min="1" max="1" width="35.109375" style="24" customWidth="1"/>
    <col min="2" max="2" width="23.5546875" style="24" customWidth="1"/>
    <col min="3" max="3" width="17.88671875" style="24" customWidth="1"/>
    <col min="4" max="5" width="22.88671875" style="80" customWidth="1"/>
    <col min="6" max="6" width="22.88671875" style="24" customWidth="1"/>
    <col min="7" max="8" width="22.5546875" style="24" customWidth="1"/>
    <col min="9" max="10" width="16.88671875" style="24" customWidth="1"/>
    <col min="11" max="11" width="14.109375" style="107" customWidth="1"/>
    <col min="12" max="13" width="8.5546875" style="24"/>
    <col min="14" max="17" width="13.109375" style="24" customWidth="1"/>
    <col min="18" max="18" width="15.109375" style="24" customWidth="1"/>
    <col min="19" max="19" width="8.5546875" style="24"/>
    <col min="20" max="24" width="13.109375" style="24" customWidth="1"/>
    <col min="25" max="16384" width="8.5546875" style="24"/>
  </cols>
  <sheetData>
    <row r="1" spans="1:24" ht="28.2" thickBot="1" x14ac:dyDescent="0.3">
      <c r="A1" s="44" t="s">
        <v>0</v>
      </c>
      <c r="B1" s="78" t="s">
        <v>1</v>
      </c>
      <c r="C1" s="79"/>
      <c r="E1" s="81"/>
      <c r="F1" s="39"/>
      <c r="G1" s="39"/>
      <c r="H1" s="39"/>
      <c r="I1" s="40" t="s">
        <v>2</v>
      </c>
      <c r="J1" s="78" t="s">
        <v>3</v>
      </c>
      <c r="K1" s="82"/>
      <c r="N1" s="325" t="s">
        <v>4</v>
      </c>
      <c r="O1" s="326"/>
      <c r="P1" s="326"/>
      <c r="Q1" s="326"/>
      <c r="R1" s="326"/>
      <c r="S1" s="326"/>
      <c r="T1" s="326"/>
      <c r="U1" s="326"/>
      <c r="V1" s="326"/>
      <c r="W1" s="326"/>
      <c r="X1" s="327"/>
    </row>
    <row r="2" spans="1:24" ht="15.6" x14ac:dyDescent="0.3">
      <c r="A2" s="357" t="s">
        <v>5</v>
      </c>
      <c r="B2" s="315"/>
      <c r="C2" s="315"/>
      <c r="D2" s="315"/>
      <c r="E2" s="315"/>
      <c r="F2" s="315"/>
      <c r="G2" s="315"/>
      <c r="H2" s="315"/>
      <c r="I2" s="315"/>
      <c r="J2" s="315"/>
      <c r="K2" s="83"/>
      <c r="N2" s="328" t="s">
        <v>6</v>
      </c>
      <c r="O2" s="329"/>
      <c r="P2" s="329"/>
      <c r="Q2" s="329"/>
      <c r="R2" s="330"/>
      <c r="T2" s="328" t="s">
        <v>7</v>
      </c>
      <c r="U2" s="329"/>
      <c r="V2" s="329"/>
      <c r="W2" s="329"/>
      <c r="X2" s="330"/>
    </row>
    <row r="3" spans="1:24" ht="21.6" customHeight="1" thickBot="1" x14ac:dyDescent="0.35">
      <c r="A3" s="366" t="s">
        <v>8</v>
      </c>
      <c r="B3" s="367"/>
      <c r="C3" s="367"/>
      <c r="D3" s="367"/>
      <c r="E3" s="367"/>
      <c r="F3" s="367"/>
      <c r="G3" s="367"/>
      <c r="H3" s="367"/>
      <c r="I3" s="367"/>
      <c r="J3" s="367"/>
      <c r="K3" s="368"/>
      <c r="N3" s="331" t="s">
        <v>9</v>
      </c>
      <c r="O3" s="332"/>
      <c r="P3" s="332"/>
      <c r="Q3" s="332"/>
      <c r="R3" s="333"/>
      <c r="T3" s="331" t="s">
        <v>10</v>
      </c>
      <c r="U3" s="332"/>
      <c r="V3" s="332"/>
      <c r="W3" s="332"/>
      <c r="X3" s="333"/>
    </row>
    <row r="4" spans="1:24" s="188" customFormat="1" ht="18" customHeight="1" x14ac:dyDescent="0.3">
      <c r="A4" s="189" t="s">
        <v>11</v>
      </c>
      <c r="B4" s="186"/>
      <c r="C4" s="186"/>
      <c r="D4" s="190">
        <f>SUM(D7:D103)</f>
        <v>1892857</v>
      </c>
      <c r="E4" s="190">
        <f t="shared" ref="E4:H4" si="0">SUM(E7:E103)</f>
        <v>3743629</v>
      </c>
      <c r="F4" s="190">
        <f t="shared" si="0"/>
        <v>5636486</v>
      </c>
      <c r="G4" s="190">
        <f t="shared" si="0"/>
        <v>316630</v>
      </c>
      <c r="H4" s="190">
        <f t="shared" si="0"/>
        <v>5953116</v>
      </c>
      <c r="I4" s="186"/>
      <c r="J4" s="190">
        <f>SUM(J7:J103)</f>
        <v>1176</v>
      </c>
      <c r="K4" s="187"/>
      <c r="N4" s="190">
        <f t="shared" ref="N4:R4" si="1">SUM(N7:N103)</f>
        <v>0</v>
      </c>
      <c r="O4" s="190">
        <f t="shared" si="1"/>
        <v>0</v>
      </c>
      <c r="P4" s="190">
        <f t="shared" si="1"/>
        <v>1871814.5</v>
      </c>
      <c r="Q4" s="190">
        <f t="shared" si="1"/>
        <v>1871814.5</v>
      </c>
      <c r="R4" s="190">
        <f t="shared" si="1"/>
        <v>3743629</v>
      </c>
      <c r="T4" s="190">
        <f t="shared" ref="T4:X4" si="2">SUM(T7:T103)</f>
        <v>0</v>
      </c>
      <c r="U4" s="190">
        <f t="shared" si="2"/>
        <v>0</v>
      </c>
      <c r="V4" s="190">
        <f t="shared" si="2"/>
        <v>158315</v>
      </c>
      <c r="W4" s="190">
        <f t="shared" si="2"/>
        <v>158315</v>
      </c>
      <c r="X4" s="190">
        <f t="shared" si="2"/>
        <v>316630</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c r="D7" s="94">
        <v>300000</v>
      </c>
      <c r="E7" s="94"/>
      <c r="F7" s="88">
        <f>SUM(D7:E7)</f>
        <v>300000</v>
      </c>
      <c r="G7" s="94"/>
      <c r="H7" s="88">
        <f>SUM(F7:G7)</f>
        <v>300000</v>
      </c>
      <c r="I7" s="89">
        <f>SUM(H7/'B - Operating Budget'!$D$40)</f>
        <v>4.8994662194869407E-2</v>
      </c>
      <c r="J7" s="95">
        <v>0</v>
      </c>
      <c r="K7" s="96" t="s">
        <v>31</v>
      </c>
      <c r="N7" s="90">
        <f>IF($K7="yes",SUM($E7*0.75),0)</f>
        <v>0</v>
      </c>
      <c r="O7" s="91">
        <f>IF($K7="yes",SUM($E7*0.25),0)</f>
        <v>0</v>
      </c>
      <c r="P7" s="91">
        <f>IF($K7="no",SUM($E7*0.5),0)</f>
        <v>0</v>
      </c>
      <c r="Q7" s="91">
        <f>IF($K7="no",SUM($E7*0.5),0)</f>
        <v>0</v>
      </c>
      <c r="R7" s="91">
        <f>SUM(N7:Q7)</f>
        <v>0</v>
      </c>
      <c r="T7" s="91">
        <f>IF($K7="yes",SUM($G7*0.75),0)</f>
        <v>0</v>
      </c>
      <c r="U7" s="91">
        <f>IF($K7="yes",SUM($G7*0.25),0)</f>
        <v>0</v>
      </c>
      <c r="V7" s="91">
        <f>IF($K7="no",SUM($G7*0.5),0)</f>
        <v>0</v>
      </c>
      <c r="W7" s="91">
        <f>IF($K7="no",SUM($G7*0.5),0)</f>
        <v>0</v>
      </c>
      <c r="X7" s="92">
        <f>SUM(T7:W7)</f>
        <v>0</v>
      </c>
    </row>
    <row r="8" spans="1:24" x14ac:dyDescent="0.25">
      <c r="A8" s="97" t="s">
        <v>32</v>
      </c>
      <c r="B8" s="93" t="s">
        <v>31</v>
      </c>
      <c r="C8" s="93" t="s">
        <v>33</v>
      </c>
      <c r="D8" s="94">
        <v>33505</v>
      </c>
      <c r="E8" s="94"/>
      <c r="F8" s="88">
        <f>SUM(D8:E8)</f>
        <v>33505</v>
      </c>
      <c r="G8" s="94">
        <v>3768</v>
      </c>
      <c r="H8" s="88">
        <f t="shared" ref="H8:H103" si="3">SUM(F8:G8)</f>
        <v>37273</v>
      </c>
      <c r="I8" s="89">
        <f>SUM(H8/'B - Operating Budget'!$D$40)</f>
        <v>6.0872601466312251E-3</v>
      </c>
      <c r="J8" s="95">
        <v>20</v>
      </c>
      <c r="K8" s="96" t="s">
        <v>31</v>
      </c>
      <c r="N8" s="90">
        <f t="shared" ref="N8:N103" si="4">IF($K8="yes",SUM($E8*0.75),0)</f>
        <v>0</v>
      </c>
      <c r="O8" s="91">
        <f t="shared" ref="O8:O103" si="5">IF($K8="yes",SUM($E8*0.25),0)</f>
        <v>0</v>
      </c>
      <c r="P8" s="91">
        <f t="shared" ref="P8:Q23" si="6">IF($K8="no",SUM($E8*0.5),0)</f>
        <v>0</v>
      </c>
      <c r="Q8" s="91">
        <f t="shared" si="6"/>
        <v>0</v>
      </c>
      <c r="R8" s="91">
        <f t="shared" ref="R8:R19" si="7">SUM(N8:Q8)</f>
        <v>0</v>
      </c>
      <c r="T8" s="91">
        <f t="shared" ref="T8:T103" si="8">IF($K8="yes",SUM($G8*0.75),0)</f>
        <v>0</v>
      </c>
      <c r="U8" s="91">
        <f t="shared" ref="U8:U103" si="9">IF($K8="yes",SUM($G8*0.25),0)</f>
        <v>0</v>
      </c>
      <c r="V8" s="91">
        <f t="shared" ref="V8:W72" si="10">IF($K8="no",SUM($G8*0.5),0)</f>
        <v>1884</v>
      </c>
      <c r="W8" s="91">
        <f t="shared" si="10"/>
        <v>1884</v>
      </c>
      <c r="X8" s="92">
        <f t="shared" ref="X8:X103" si="11">SUM(T8:W8)</f>
        <v>3768</v>
      </c>
    </row>
    <row r="9" spans="1:24" x14ac:dyDescent="0.25">
      <c r="A9" s="97" t="s">
        <v>34</v>
      </c>
      <c r="B9" s="93" t="s">
        <v>30</v>
      </c>
      <c r="C9" s="93" t="s">
        <v>33</v>
      </c>
      <c r="D9" s="94">
        <v>64672</v>
      </c>
      <c r="E9" s="94"/>
      <c r="F9" s="88">
        <f t="shared" ref="F9:F103" si="12">SUM(D9:E9)</f>
        <v>64672</v>
      </c>
      <c r="G9" s="94">
        <v>3391</v>
      </c>
      <c r="H9" s="88">
        <f t="shared" si="3"/>
        <v>68063</v>
      </c>
      <c r="I9" s="89">
        <f>SUM(H9/'B - Operating Budget'!$D$40)</f>
        <v>1.1115745643231322E-2</v>
      </c>
      <c r="J9" s="95">
        <v>10</v>
      </c>
      <c r="K9" s="96" t="s">
        <v>31</v>
      </c>
      <c r="N9" s="90">
        <f t="shared" si="4"/>
        <v>0</v>
      </c>
      <c r="O9" s="91">
        <f t="shared" si="5"/>
        <v>0</v>
      </c>
      <c r="P9" s="91">
        <f t="shared" si="6"/>
        <v>0</v>
      </c>
      <c r="Q9" s="91">
        <f t="shared" si="6"/>
        <v>0</v>
      </c>
      <c r="R9" s="91">
        <f t="shared" si="7"/>
        <v>0</v>
      </c>
      <c r="T9" s="91">
        <f t="shared" si="8"/>
        <v>0</v>
      </c>
      <c r="U9" s="91">
        <f t="shared" si="9"/>
        <v>0</v>
      </c>
      <c r="V9" s="91">
        <f t="shared" si="10"/>
        <v>1695.5</v>
      </c>
      <c r="W9" s="91">
        <f t="shared" si="10"/>
        <v>1695.5</v>
      </c>
      <c r="X9" s="92">
        <f t="shared" si="11"/>
        <v>3391</v>
      </c>
    </row>
    <row r="10" spans="1:24" x14ac:dyDescent="0.25">
      <c r="A10" s="97" t="s">
        <v>35</v>
      </c>
      <c r="B10" s="93" t="s">
        <v>30</v>
      </c>
      <c r="C10" s="93" t="s">
        <v>33</v>
      </c>
      <c r="D10" s="94">
        <v>422382</v>
      </c>
      <c r="E10" s="94"/>
      <c r="F10" s="88">
        <f t="shared" si="12"/>
        <v>422382</v>
      </c>
      <c r="G10" s="94">
        <v>8477</v>
      </c>
      <c r="H10" s="88">
        <f t="shared" si="3"/>
        <v>430859</v>
      </c>
      <c r="I10" s="89">
        <f>SUM(H10/'B - Operating Budget'!$D$40)</f>
        <v>7.0365970528730795E-2</v>
      </c>
      <c r="J10" s="95">
        <v>105</v>
      </c>
      <c r="K10" s="96" t="s">
        <v>31</v>
      </c>
      <c r="N10" s="90">
        <f t="shared" si="4"/>
        <v>0</v>
      </c>
      <c r="O10" s="91">
        <f t="shared" si="5"/>
        <v>0</v>
      </c>
      <c r="P10" s="91">
        <f t="shared" si="6"/>
        <v>0</v>
      </c>
      <c r="Q10" s="91">
        <f t="shared" si="6"/>
        <v>0</v>
      </c>
      <c r="R10" s="91">
        <f t="shared" si="7"/>
        <v>0</v>
      </c>
      <c r="T10" s="91">
        <f t="shared" si="8"/>
        <v>0</v>
      </c>
      <c r="U10" s="91">
        <f t="shared" si="9"/>
        <v>0</v>
      </c>
      <c r="V10" s="91">
        <f t="shared" si="10"/>
        <v>4238.5</v>
      </c>
      <c r="W10" s="91">
        <f t="shared" si="10"/>
        <v>4238.5</v>
      </c>
      <c r="X10" s="92">
        <f t="shared" si="11"/>
        <v>8477</v>
      </c>
    </row>
    <row r="11" spans="1:24" x14ac:dyDescent="0.25">
      <c r="A11" s="97" t="s">
        <v>36</v>
      </c>
      <c r="B11" s="93" t="s">
        <v>30</v>
      </c>
      <c r="C11" s="93" t="s">
        <v>33</v>
      </c>
      <c r="D11" s="94">
        <v>107514</v>
      </c>
      <c r="E11" s="94"/>
      <c r="F11" s="88">
        <f t="shared" si="12"/>
        <v>107514</v>
      </c>
      <c r="G11" s="94">
        <v>6405</v>
      </c>
      <c r="H11" s="88">
        <f t="shared" si="3"/>
        <v>113919</v>
      </c>
      <c r="I11" s="89">
        <f>SUM(H11/'B - Operating Budget'!$D$40)</f>
        <v>1.8604743075257762E-2</v>
      </c>
      <c r="J11" s="95">
        <v>20</v>
      </c>
      <c r="K11" s="96" t="s">
        <v>31</v>
      </c>
      <c r="N11" s="90">
        <f t="shared" si="4"/>
        <v>0</v>
      </c>
      <c r="O11" s="91">
        <f t="shared" si="5"/>
        <v>0</v>
      </c>
      <c r="P11" s="91">
        <f t="shared" si="6"/>
        <v>0</v>
      </c>
      <c r="Q11" s="91">
        <f t="shared" si="6"/>
        <v>0</v>
      </c>
      <c r="R11" s="91">
        <f t="shared" si="7"/>
        <v>0</v>
      </c>
      <c r="T11" s="91">
        <f t="shared" si="8"/>
        <v>0</v>
      </c>
      <c r="U11" s="91">
        <f t="shared" si="9"/>
        <v>0</v>
      </c>
      <c r="V11" s="91">
        <f t="shared" si="10"/>
        <v>3202.5</v>
      </c>
      <c r="W11" s="91">
        <f t="shared" si="10"/>
        <v>3202.5</v>
      </c>
      <c r="X11" s="92">
        <f t="shared" si="11"/>
        <v>6405</v>
      </c>
    </row>
    <row r="12" spans="1:24" x14ac:dyDescent="0.25">
      <c r="A12" s="97" t="s">
        <v>37</v>
      </c>
      <c r="B12" s="93" t="s">
        <v>30</v>
      </c>
      <c r="C12" s="93" t="s">
        <v>33</v>
      </c>
      <c r="D12" s="94">
        <v>169635</v>
      </c>
      <c r="E12" s="94"/>
      <c r="F12" s="88">
        <f t="shared" si="12"/>
        <v>169635</v>
      </c>
      <c r="G12" s="94">
        <v>47096</v>
      </c>
      <c r="H12" s="88">
        <f t="shared" si="3"/>
        <v>216731</v>
      </c>
      <c r="I12" s="89">
        <f>SUM(H12/'B - Operating Budget'!$D$40)</f>
        <v>3.5395540440520804E-2</v>
      </c>
      <c r="J12" s="95">
        <v>100</v>
      </c>
      <c r="K12" s="96" t="s">
        <v>31</v>
      </c>
      <c r="N12" s="90">
        <f t="shared" si="4"/>
        <v>0</v>
      </c>
      <c r="O12" s="91">
        <f t="shared" si="5"/>
        <v>0</v>
      </c>
      <c r="P12" s="91">
        <f t="shared" si="6"/>
        <v>0</v>
      </c>
      <c r="Q12" s="91">
        <f t="shared" si="6"/>
        <v>0</v>
      </c>
      <c r="R12" s="91">
        <f t="shared" si="7"/>
        <v>0</v>
      </c>
      <c r="T12" s="91">
        <f t="shared" si="8"/>
        <v>0</v>
      </c>
      <c r="U12" s="91">
        <f t="shared" si="9"/>
        <v>0</v>
      </c>
      <c r="V12" s="91">
        <f t="shared" si="10"/>
        <v>23548</v>
      </c>
      <c r="W12" s="91">
        <f t="shared" si="10"/>
        <v>23548</v>
      </c>
      <c r="X12" s="92">
        <f t="shared" si="11"/>
        <v>47096</v>
      </c>
    </row>
    <row r="13" spans="1:24" x14ac:dyDescent="0.25">
      <c r="A13" s="97" t="s">
        <v>38</v>
      </c>
      <c r="B13" s="93" t="s">
        <v>31</v>
      </c>
      <c r="C13" s="93" t="s">
        <v>33</v>
      </c>
      <c r="D13" s="94">
        <v>113029</v>
      </c>
      <c r="E13" s="94"/>
      <c r="F13" s="88">
        <f t="shared" si="12"/>
        <v>113029</v>
      </c>
      <c r="G13" s="94">
        <v>1884</v>
      </c>
      <c r="H13" s="88">
        <f t="shared" si="3"/>
        <v>114913</v>
      </c>
      <c r="I13" s="89">
        <f>SUM(H13/'B - Operating Budget'!$D$40)</f>
        <v>1.8767078722663429E-2</v>
      </c>
      <c r="J13" s="95">
        <v>50</v>
      </c>
      <c r="K13" s="96" t="s">
        <v>31</v>
      </c>
      <c r="N13" s="90">
        <f t="shared" si="4"/>
        <v>0</v>
      </c>
      <c r="O13" s="91">
        <f t="shared" si="5"/>
        <v>0</v>
      </c>
      <c r="P13" s="91">
        <f t="shared" si="6"/>
        <v>0</v>
      </c>
      <c r="Q13" s="91">
        <f t="shared" si="6"/>
        <v>0</v>
      </c>
      <c r="R13" s="91">
        <f t="shared" si="7"/>
        <v>0</v>
      </c>
      <c r="T13" s="91">
        <f t="shared" si="8"/>
        <v>0</v>
      </c>
      <c r="U13" s="91">
        <f t="shared" si="9"/>
        <v>0</v>
      </c>
      <c r="V13" s="91">
        <f t="shared" si="10"/>
        <v>942</v>
      </c>
      <c r="W13" s="91">
        <f t="shared" si="10"/>
        <v>942</v>
      </c>
      <c r="X13" s="92">
        <f t="shared" si="11"/>
        <v>1884</v>
      </c>
    </row>
    <row r="14" spans="1:24" x14ac:dyDescent="0.25">
      <c r="A14" s="97" t="s">
        <v>39</v>
      </c>
      <c r="B14" s="93" t="s">
        <v>30</v>
      </c>
      <c r="C14" s="93" t="s">
        <v>33</v>
      </c>
      <c r="D14" s="94">
        <v>146238</v>
      </c>
      <c r="E14" s="94"/>
      <c r="F14" s="88">
        <f t="shared" si="12"/>
        <v>146238</v>
      </c>
      <c r="G14" s="94">
        <v>12622</v>
      </c>
      <c r="H14" s="88">
        <f t="shared" si="3"/>
        <v>158860</v>
      </c>
      <c r="I14" s="89">
        <f>SUM(H14/'B - Operating Budget'!$D$40)</f>
        <v>2.5944306787589848E-2</v>
      </c>
      <c r="J14" s="95">
        <v>45</v>
      </c>
      <c r="K14" s="96" t="s">
        <v>31</v>
      </c>
      <c r="N14" s="90">
        <f t="shared" si="4"/>
        <v>0</v>
      </c>
      <c r="O14" s="91">
        <f t="shared" si="5"/>
        <v>0</v>
      </c>
      <c r="P14" s="91">
        <f t="shared" si="6"/>
        <v>0</v>
      </c>
      <c r="Q14" s="91">
        <f t="shared" si="6"/>
        <v>0</v>
      </c>
      <c r="R14" s="91">
        <f t="shared" si="7"/>
        <v>0</v>
      </c>
      <c r="T14" s="91">
        <f t="shared" si="8"/>
        <v>0</v>
      </c>
      <c r="U14" s="91">
        <f t="shared" si="9"/>
        <v>0</v>
      </c>
      <c r="V14" s="91">
        <f t="shared" si="10"/>
        <v>6311</v>
      </c>
      <c r="W14" s="91">
        <f t="shared" si="10"/>
        <v>6311</v>
      </c>
      <c r="X14" s="92">
        <f t="shared" si="11"/>
        <v>12622</v>
      </c>
    </row>
    <row r="15" spans="1:24" x14ac:dyDescent="0.25">
      <c r="A15" s="97" t="s">
        <v>40</v>
      </c>
      <c r="B15" s="93" t="s">
        <v>30</v>
      </c>
      <c r="C15" s="93" t="s">
        <v>33</v>
      </c>
      <c r="D15" s="94">
        <v>196598</v>
      </c>
      <c r="E15" s="94"/>
      <c r="F15" s="88">
        <f t="shared" si="12"/>
        <v>196598</v>
      </c>
      <c r="G15" s="94">
        <v>24301</v>
      </c>
      <c r="H15" s="88">
        <f t="shared" si="3"/>
        <v>220899</v>
      </c>
      <c r="I15" s="89">
        <f>SUM(H15/'B - Operating Budget'!$D$40)</f>
        <v>3.6076239613948194E-2</v>
      </c>
      <c r="J15" s="95">
        <v>75</v>
      </c>
      <c r="K15" s="96" t="s">
        <v>31</v>
      </c>
      <c r="N15" s="90">
        <f t="shared" si="4"/>
        <v>0</v>
      </c>
      <c r="O15" s="91">
        <f t="shared" si="5"/>
        <v>0</v>
      </c>
      <c r="P15" s="91">
        <f t="shared" si="6"/>
        <v>0</v>
      </c>
      <c r="Q15" s="91">
        <f t="shared" si="6"/>
        <v>0</v>
      </c>
      <c r="R15" s="91">
        <f t="shared" si="7"/>
        <v>0</v>
      </c>
      <c r="T15" s="91">
        <f t="shared" si="8"/>
        <v>0</v>
      </c>
      <c r="U15" s="91">
        <f t="shared" si="9"/>
        <v>0</v>
      </c>
      <c r="V15" s="91">
        <f t="shared" si="10"/>
        <v>12150.5</v>
      </c>
      <c r="W15" s="91">
        <f t="shared" si="10"/>
        <v>12150.5</v>
      </c>
      <c r="X15" s="92">
        <f t="shared" si="11"/>
        <v>24301</v>
      </c>
    </row>
    <row r="16" spans="1:24" x14ac:dyDescent="0.25">
      <c r="A16" s="98" t="s">
        <v>41</v>
      </c>
      <c r="B16" s="99" t="s">
        <v>31</v>
      </c>
      <c r="C16" s="99" t="s">
        <v>33</v>
      </c>
      <c r="D16" s="100">
        <v>106507</v>
      </c>
      <c r="E16" s="100"/>
      <c r="F16" s="88">
        <f t="shared" si="12"/>
        <v>106507</v>
      </c>
      <c r="G16" s="94">
        <v>8477</v>
      </c>
      <c r="H16" s="88">
        <f t="shared" si="3"/>
        <v>114984</v>
      </c>
      <c r="I16" s="89">
        <f>SUM(H16/'B - Operating Budget'!$D$40)</f>
        <v>1.8778674126049548E-2</v>
      </c>
      <c r="J16" s="95">
        <v>40</v>
      </c>
      <c r="K16" s="96" t="s">
        <v>31</v>
      </c>
      <c r="N16" s="90">
        <f t="shared" si="4"/>
        <v>0</v>
      </c>
      <c r="O16" s="91">
        <f t="shared" si="5"/>
        <v>0</v>
      </c>
      <c r="P16" s="91">
        <f t="shared" si="6"/>
        <v>0</v>
      </c>
      <c r="Q16" s="91">
        <f t="shared" si="6"/>
        <v>0</v>
      </c>
      <c r="R16" s="91">
        <f t="shared" si="7"/>
        <v>0</v>
      </c>
      <c r="T16" s="91">
        <f t="shared" si="8"/>
        <v>0</v>
      </c>
      <c r="U16" s="91">
        <f t="shared" si="9"/>
        <v>0</v>
      </c>
      <c r="V16" s="91">
        <f t="shared" si="10"/>
        <v>4238.5</v>
      </c>
      <c r="W16" s="91">
        <f t="shared" si="10"/>
        <v>4238.5</v>
      </c>
      <c r="X16" s="92">
        <f t="shared" si="11"/>
        <v>8477</v>
      </c>
    </row>
    <row r="17" spans="1:24" x14ac:dyDescent="0.25">
      <c r="A17" s="97" t="s">
        <v>42</v>
      </c>
      <c r="B17" s="93" t="s">
        <v>31</v>
      </c>
      <c r="C17" s="93" t="s">
        <v>33</v>
      </c>
      <c r="D17" s="94">
        <v>232777</v>
      </c>
      <c r="E17" s="94"/>
      <c r="F17" s="88">
        <f t="shared" si="12"/>
        <v>232777</v>
      </c>
      <c r="G17" s="94">
        <v>3579</v>
      </c>
      <c r="H17" s="88">
        <f t="shared" si="3"/>
        <v>236356</v>
      </c>
      <c r="I17" s="89">
        <f>SUM(H17/'B - Operating Budget'!$D$40)</f>
        <v>3.8600607925768513E-2</v>
      </c>
      <c r="J17" s="95">
        <v>30</v>
      </c>
      <c r="K17" s="96" t="s">
        <v>31</v>
      </c>
      <c r="N17" s="90">
        <f t="shared" si="4"/>
        <v>0</v>
      </c>
      <c r="O17" s="91">
        <f t="shared" si="5"/>
        <v>0</v>
      </c>
      <c r="P17" s="91">
        <f t="shared" si="6"/>
        <v>0</v>
      </c>
      <c r="Q17" s="91">
        <f t="shared" si="6"/>
        <v>0</v>
      </c>
      <c r="R17" s="91">
        <f t="shared" si="7"/>
        <v>0</v>
      </c>
      <c r="T17" s="91">
        <f t="shared" si="8"/>
        <v>0</v>
      </c>
      <c r="U17" s="91">
        <f t="shared" si="9"/>
        <v>0</v>
      </c>
      <c r="V17" s="91">
        <f t="shared" si="10"/>
        <v>1789.5</v>
      </c>
      <c r="W17" s="91">
        <f t="shared" si="10"/>
        <v>1789.5</v>
      </c>
      <c r="X17" s="92">
        <f t="shared" si="11"/>
        <v>3579</v>
      </c>
    </row>
    <row r="18" spans="1:24" x14ac:dyDescent="0.25">
      <c r="A18" s="97" t="s">
        <v>43</v>
      </c>
      <c r="B18" s="93" t="s">
        <v>31</v>
      </c>
      <c r="C18" s="93" t="s">
        <v>33</v>
      </c>
      <c r="D18" s="94"/>
      <c r="E18" s="94">
        <v>127104</v>
      </c>
      <c r="F18" s="88">
        <f t="shared" si="12"/>
        <v>127104</v>
      </c>
      <c r="G18" s="94"/>
      <c r="H18" s="88">
        <f t="shared" si="3"/>
        <v>127104</v>
      </c>
      <c r="I18" s="89">
        <f>SUM(H18/'B - Operating Budget'!$D$40)</f>
        <v>2.0758058478722273E-2</v>
      </c>
      <c r="J18" s="95">
        <v>0</v>
      </c>
      <c r="K18" s="96" t="s">
        <v>31</v>
      </c>
      <c r="N18" s="90">
        <f t="shared" si="4"/>
        <v>0</v>
      </c>
      <c r="O18" s="91">
        <f t="shared" si="5"/>
        <v>0</v>
      </c>
      <c r="P18" s="91">
        <f t="shared" si="6"/>
        <v>63552</v>
      </c>
      <c r="Q18" s="91">
        <f t="shared" si="6"/>
        <v>63552</v>
      </c>
      <c r="R18" s="91">
        <f t="shared" si="7"/>
        <v>127104</v>
      </c>
      <c r="T18" s="91">
        <f t="shared" si="8"/>
        <v>0</v>
      </c>
      <c r="U18" s="91">
        <f t="shared" si="9"/>
        <v>0</v>
      </c>
      <c r="V18" s="91">
        <f t="shared" si="10"/>
        <v>0</v>
      </c>
      <c r="W18" s="91">
        <f t="shared" si="10"/>
        <v>0</v>
      </c>
      <c r="X18" s="92">
        <f t="shared" si="11"/>
        <v>0</v>
      </c>
    </row>
    <row r="19" spans="1:24" x14ac:dyDescent="0.25">
      <c r="A19" s="97" t="s">
        <v>44</v>
      </c>
      <c r="B19" s="93" t="s">
        <v>30</v>
      </c>
      <c r="C19" s="93" t="s">
        <v>33</v>
      </c>
      <c r="D19" s="94"/>
      <c r="E19" s="94">
        <v>1730682</v>
      </c>
      <c r="F19" s="88">
        <f t="shared" si="12"/>
        <v>1730682</v>
      </c>
      <c r="G19" s="94">
        <v>65588</v>
      </c>
      <c r="H19" s="88">
        <f t="shared" si="3"/>
        <v>1796270</v>
      </c>
      <c r="I19" s="89">
        <f>SUM(H19/'B - Operating Budget'!$D$40)</f>
        <v>0.29335880620259358</v>
      </c>
      <c r="J19" s="95">
        <v>354</v>
      </c>
      <c r="K19" s="96" t="s">
        <v>31</v>
      </c>
      <c r="N19" s="90">
        <f t="shared" si="4"/>
        <v>0</v>
      </c>
      <c r="O19" s="91">
        <f t="shared" si="5"/>
        <v>0</v>
      </c>
      <c r="P19" s="91">
        <f t="shared" si="6"/>
        <v>865341</v>
      </c>
      <c r="Q19" s="91">
        <f t="shared" si="6"/>
        <v>865341</v>
      </c>
      <c r="R19" s="91">
        <f t="shared" si="7"/>
        <v>1730682</v>
      </c>
      <c r="T19" s="91">
        <f t="shared" si="8"/>
        <v>0</v>
      </c>
      <c r="U19" s="91">
        <f t="shared" si="9"/>
        <v>0</v>
      </c>
      <c r="V19" s="91">
        <f t="shared" si="10"/>
        <v>32794</v>
      </c>
      <c r="W19" s="91">
        <f t="shared" si="10"/>
        <v>32794</v>
      </c>
      <c r="X19" s="92">
        <f t="shared" si="11"/>
        <v>65588</v>
      </c>
    </row>
    <row r="20" spans="1:24" x14ac:dyDescent="0.25">
      <c r="A20" s="97" t="s">
        <v>45</v>
      </c>
      <c r="B20" s="93" t="s">
        <v>30</v>
      </c>
      <c r="C20" s="93" t="s">
        <v>33</v>
      </c>
      <c r="D20" s="94"/>
      <c r="E20" s="94">
        <v>278174</v>
      </c>
      <c r="F20" s="88">
        <f t="shared" si="12"/>
        <v>278174</v>
      </c>
      <c r="G20" s="94">
        <v>2072</v>
      </c>
      <c r="H20" s="88">
        <f t="shared" si="3"/>
        <v>280246</v>
      </c>
      <c r="I20" s="89">
        <f>SUM(H20/'B - Operating Budget'!$D$40)</f>
        <v>4.5768527004877907E-2</v>
      </c>
      <c r="J20" s="95">
        <v>16</v>
      </c>
      <c r="K20" s="96" t="s">
        <v>31</v>
      </c>
      <c r="N20" s="90">
        <f t="shared" si="4"/>
        <v>0</v>
      </c>
      <c r="O20" s="91">
        <f t="shared" si="5"/>
        <v>0</v>
      </c>
      <c r="P20" s="91">
        <f t="shared" si="6"/>
        <v>139087</v>
      </c>
      <c r="Q20" s="91">
        <f t="shared" si="6"/>
        <v>139087</v>
      </c>
      <c r="R20" s="91">
        <f t="shared" ref="R20:R103" si="13">SUM(N20:Q20)</f>
        <v>278174</v>
      </c>
      <c r="T20" s="91">
        <f t="shared" si="8"/>
        <v>0</v>
      </c>
      <c r="U20" s="91">
        <f t="shared" si="9"/>
        <v>0</v>
      </c>
      <c r="V20" s="91">
        <f t="shared" si="10"/>
        <v>1036</v>
      </c>
      <c r="W20" s="91">
        <f t="shared" si="10"/>
        <v>1036</v>
      </c>
      <c r="X20" s="92">
        <f t="shared" si="11"/>
        <v>2072</v>
      </c>
    </row>
    <row r="21" spans="1:24" x14ac:dyDescent="0.25">
      <c r="A21" s="97" t="s">
        <v>46</v>
      </c>
      <c r="B21" s="93" t="s">
        <v>30</v>
      </c>
      <c r="C21" s="93" t="s">
        <v>33</v>
      </c>
      <c r="D21" s="94"/>
      <c r="E21" s="94">
        <v>695336</v>
      </c>
      <c r="F21" s="88">
        <f t="shared" si="12"/>
        <v>695336</v>
      </c>
      <c r="G21" s="94">
        <v>17520</v>
      </c>
      <c r="H21" s="88">
        <f t="shared" si="3"/>
        <v>712856</v>
      </c>
      <c r="I21" s="89">
        <f>SUM(H21/'B - Operating Budget'!$D$40)</f>
        <v>0.1164204630452861</v>
      </c>
      <c r="J21" s="95">
        <v>101</v>
      </c>
      <c r="K21" s="96" t="s">
        <v>31</v>
      </c>
      <c r="N21" s="90">
        <f t="shared" si="4"/>
        <v>0</v>
      </c>
      <c r="O21" s="91">
        <f t="shared" si="5"/>
        <v>0</v>
      </c>
      <c r="P21" s="91">
        <f t="shared" si="6"/>
        <v>347668</v>
      </c>
      <c r="Q21" s="91">
        <f t="shared" si="6"/>
        <v>347668</v>
      </c>
      <c r="R21" s="91">
        <f t="shared" si="13"/>
        <v>695336</v>
      </c>
      <c r="T21" s="91">
        <f t="shared" si="8"/>
        <v>0</v>
      </c>
      <c r="U21" s="91">
        <f t="shared" si="9"/>
        <v>0</v>
      </c>
      <c r="V21" s="91">
        <f t="shared" si="10"/>
        <v>8760</v>
      </c>
      <c r="W21" s="91">
        <f t="shared" si="10"/>
        <v>8760</v>
      </c>
      <c r="X21" s="92">
        <f t="shared" si="11"/>
        <v>17520</v>
      </c>
    </row>
    <row r="22" spans="1:24" x14ac:dyDescent="0.25">
      <c r="A22" s="97" t="s">
        <v>47</v>
      </c>
      <c r="B22" s="93" t="s">
        <v>30</v>
      </c>
      <c r="C22" s="93" t="s">
        <v>33</v>
      </c>
      <c r="D22" s="94"/>
      <c r="E22" s="94">
        <v>712333</v>
      </c>
      <c r="F22" s="88">
        <f t="shared" si="12"/>
        <v>712333</v>
      </c>
      <c r="G22" s="94">
        <v>111450</v>
      </c>
      <c r="H22" s="88">
        <f t="shared" si="3"/>
        <v>823783</v>
      </c>
      <c r="I22" s="89">
        <f>SUM(H22/'B - Operating Budget'!$D$40)</f>
        <v>0.13453656602292036</v>
      </c>
      <c r="J22" s="95">
        <v>210</v>
      </c>
      <c r="K22" s="96" t="s">
        <v>31</v>
      </c>
      <c r="N22" s="90">
        <f t="shared" si="4"/>
        <v>0</v>
      </c>
      <c r="O22" s="91">
        <f t="shared" si="5"/>
        <v>0</v>
      </c>
      <c r="P22" s="91">
        <f t="shared" si="6"/>
        <v>356166.5</v>
      </c>
      <c r="Q22" s="91">
        <f t="shared" si="6"/>
        <v>356166.5</v>
      </c>
      <c r="R22" s="91">
        <f t="shared" si="13"/>
        <v>712333</v>
      </c>
      <c r="T22" s="91">
        <f t="shared" si="8"/>
        <v>0</v>
      </c>
      <c r="U22" s="91">
        <f t="shared" si="9"/>
        <v>0</v>
      </c>
      <c r="V22" s="91">
        <f t="shared" si="10"/>
        <v>55725</v>
      </c>
      <c r="W22" s="91">
        <f t="shared" si="10"/>
        <v>55725</v>
      </c>
      <c r="X22" s="92">
        <f t="shared" si="11"/>
        <v>111450</v>
      </c>
    </row>
    <row r="23" spans="1:24" x14ac:dyDescent="0.25">
      <c r="A23" s="97" t="s">
        <v>48</v>
      </c>
      <c r="B23" s="93" t="s">
        <v>31</v>
      </c>
      <c r="C23" s="93" t="s">
        <v>33</v>
      </c>
      <c r="D23" s="94"/>
      <c r="E23" s="94">
        <v>75000</v>
      </c>
      <c r="F23" s="88">
        <f t="shared" si="12"/>
        <v>75000</v>
      </c>
      <c r="G23" s="94"/>
      <c r="H23" s="88">
        <f t="shared" si="3"/>
        <v>75000</v>
      </c>
      <c r="I23" s="89">
        <f>SUM(H23/'B - Operating Budget'!$D$40)</f>
        <v>1.2248665548717352E-2</v>
      </c>
      <c r="J23" s="95">
        <v>0</v>
      </c>
      <c r="K23" s="96" t="s">
        <v>31</v>
      </c>
      <c r="N23" s="90">
        <f t="shared" si="4"/>
        <v>0</v>
      </c>
      <c r="O23" s="91">
        <f t="shared" si="5"/>
        <v>0</v>
      </c>
      <c r="P23" s="91">
        <f t="shared" si="6"/>
        <v>37500</v>
      </c>
      <c r="Q23" s="91">
        <f t="shared" si="6"/>
        <v>37500</v>
      </c>
      <c r="R23" s="91">
        <f t="shared" si="13"/>
        <v>75000</v>
      </c>
      <c r="T23" s="91">
        <f t="shared" si="8"/>
        <v>0</v>
      </c>
      <c r="U23" s="91">
        <f t="shared" si="9"/>
        <v>0</v>
      </c>
      <c r="V23" s="91">
        <f t="shared" si="10"/>
        <v>0</v>
      </c>
      <c r="W23" s="91">
        <f t="shared" si="10"/>
        <v>0</v>
      </c>
      <c r="X23" s="92">
        <f t="shared" si="11"/>
        <v>0</v>
      </c>
    </row>
    <row r="24" spans="1:24" ht="27.6" x14ac:dyDescent="0.25">
      <c r="A24" s="97" t="s">
        <v>49</v>
      </c>
      <c r="B24" s="93" t="s">
        <v>31</v>
      </c>
      <c r="C24" s="93" t="s">
        <v>33</v>
      </c>
      <c r="D24" s="94"/>
      <c r="E24" s="94">
        <v>25000</v>
      </c>
      <c r="F24" s="88">
        <f t="shared" si="12"/>
        <v>25000</v>
      </c>
      <c r="G24" s="94"/>
      <c r="H24" s="88">
        <f t="shared" si="3"/>
        <v>25000</v>
      </c>
      <c r="I24" s="89">
        <f>SUM(H24/'B - Operating Budget'!$D$40)</f>
        <v>4.0828885162391172E-3</v>
      </c>
      <c r="J24" s="95">
        <v>0</v>
      </c>
      <c r="K24" s="96" t="s">
        <v>31</v>
      </c>
      <c r="N24" s="90">
        <f t="shared" si="4"/>
        <v>0</v>
      </c>
      <c r="O24" s="91">
        <f t="shared" si="5"/>
        <v>0</v>
      </c>
      <c r="P24" s="91">
        <f t="shared" ref="P24:Q103" si="14">IF($K24="no",SUM($E24*0.5),0)</f>
        <v>12500</v>
      </c>
      <c r="Q24" s="91">
        <f t="shared" si="14"/>
        <v>12500</v>
      </c>
      <c r="R24" s="91">
        <f t="shared" si="13"/>
        <v>25000</v>
      </c>
      <c r="T24" s="91">
        <f t="shared" si="8"/>
        <v>0</v>
      </c>
      <c r="U24" s="91">
        <f t="shared" si="9"/>
        <v>0</v>
      </c>
      <c r="V24" s="91">
        <f t="shared" si="10"/>
        <v>0</v>
      </c>
      <c r="W24" s="91">
        <f t="shared" si="10"/>
        <v>0</v>
      </c>
      <c r="X24" s="92">
        <f t="shared" si="11"/>
        <v>0</v>
      </c>
    </row>
    <row r="25" spans="1:24" ht="27.6" x14ac:dyDescent="0.25">
      <c r="A25" s="97" t="s">
        <v>50</v>
      </c>
      <c r="B25" s="93" t="s">
        <v>31</v>
      </c>
      <c r="C25" s="93" t="s">
        <v>33</v>
      </c>
      <c r="D25" s="94"/>
      <c r="E25" s="94">
        <v>25000</v>
      </c>
      <c r="F25" s="88">
        <f t="shared" si="12"/>
        <v>25000</v>
      </c>
      <c r="G25" s="94"/>
      <c r="H25" s="88">
        <f t="shared" si="3"/>
        <v>25000</v>
      </c>
      <c r="I25" s="89">
        <f>SUM(H25/'B - Operating Budget'!$D$40)</f>
        <v>4.0828885162391172E-3</v>
      </c>
      <c r="J25" s="95">
        <v>0</v>
      </c>
      <c r="K25" s="96" t="s">
        <v>31</v>
      </c>
      <c r="N25" s="90">
        <f t="shared" si="4"/>
        <v>0</v>
      </c>
      <c r="O25" s="91">
        <f t="shared" si="5"/>
        <v>0</v>
      </c>
      <c r="P25" s="91">
        <f t="shared" si="14"/>
        <v>12500</v>
      </c>
      <c r="Q25" s="91">
        <f t="shared" si="14"/>
        <v>12500</v>
      </c>
      <c r="R25" s="91">
        <f t="shared" si="13"/>
        <v>25000</v>
      </c>
      <c r="T25" s="91">
        <f t="shared" si="8"/>
        <v>0</v>
      </c>
      <c r="U25" s="91">
        <f t="shared" si="9"/>
        <v>0</v>
      </c>
      <c r="V25" s="91">
        <f t="shared" si="10"/>
        <v>0</v>
      </c>
      <c r="W25" s="91">
        <f t="shared" si="10"/>
        <v>0</v>
      </c>
      <c r="X25" s="92">
        <f t="shared" si="11"/>
        <v>0</v>
      </c>
    </row>
    <row r="26" spans="1:24" x14ac:dyDescent="0.25">
      <c r="A26" s="97" t="s">
        <v>51</v>
      </c>
      <c r="B26" s="93" t="s">
        <v>31</v>
      </c>
      <c r="C26" s="93" t="s">
        <v>33</v>
      </c>
      <c r="D26" s="94"/>
      <c r="E26" s="94">
        <v>25000</v>
      </c>
      <c r="F26" s="88">
        <f t="shared" si="12"/>
        <v>25000</v>
      </c>
      <c r="G26" s="94"/>
      <c r="H26" s="88">
        <f t="shared" si="3"/>
        <v>25000</v>
      </c>
      <c r="I26" s="89">
        <f>SUM(H26/'B - Operating Budget'!$D$40)</f>
        <v>4.0828885162391172E-3</v>
      </c>
      <c r="J26" s="95">
        <v>0</v>
      </c>
      <c r="K26" s="96" t="s">
        <v>31</v>
      </c>
      <c r="N26" s="90">
        <f t="shared" si="4"/>
        <v>0</v>
      </c>
      <c r="O26" s="91">
        <f t="shared" si="5"/>
        <v>0</v>
      </c>
      <c r="P26" s="91">
        <f t="shared" si="14"/>
        <v>12500</v>
      </c>
      <c r="Q26" s="91">
        <f t="shared" si="14"/>
        <v>12500</v>
      </c>
      <c r="R26" s="91">
        <f t="shared" si="13"/>
        <v>25000</v>
      </c>
      <c r="T26" s="91">
        <f t="shared" si="8"/>
        <v>0</v>
      </c>
      <c r="U26" s="91">
        <f t="shared" si="9"/>
        <v>0</v>
      </c>
      <c r="V26" s="91">
        <f t="shared" si="10"/>
        <v>0</v>
      </c>
      <c r="W26" s="91">
        <f t="shared" si="10"/>
        <v>0</v>
      </c>
      <c r="X26" s="92">
        <f t="shared" si="11"/>
        <v>0</v>
      </c>
    </row>
    <row r="27" spans="1:24" ht="27.6" x14ac:dyDescent="0.25">
      <c r="A27" s="97" t="s">
        <v>52</v>
      </c>
      <c r="B27" s="93" t="s">
        <v>31</v>
      </c>
      <c r="C27" s="93" t="s">
        <v>33</v>
      </c>
      <c r="D27" s="94"/>
      <c r="E27" s="94">
        <v>25000</v>
      </c>
      <c r="F27" s="88">
        <f t="shared" ref="F27:F28" si="15">SUM(D27:E27)</f>
        <v>25000</v>
      </c>
      <c r="G27" s="94"/>
      <c r="H27" s="88">
        <f t="shared" ref="H27:H28" si="16">SUM(F27:G27)</f>
        <v>25000</v>
      </c>
      <c r="I27" s="89">
        <f>SUM(H27/'B - Operating Budget'!$D$40)</f>
        <v>4.0828885162391172E-3</v>
      </c>
      <c r="J27" s="95">
        <v>0</v>
      </c>
      <c r="K27" s="96" t="s">
        <v>31</v>
      </c>
      <c r="N27" s="90">
        <f t="shared" si="4"/>
        <v>0</v>
      </c>
      <c r="O27" s="91">
        <f t="shared" si="5"/>
        <v>0</v>
      </c>
      <c r="P27" s="91">
        <f t="shared" si="14"/>
        <v>12500</v>
      </c>
      <c r="Q27" s="91">
        <f t="shared" si="14"/>
        <v>12500</v>
      </c>
      <c r="R27" s="91">
        <f t="shared" ref="R27:R57" si="17">SUM(N27:Q27)</f>
        <v>25000</v>
      </c>
      <c r="T27" s="91">
        <f t="shared" si="8"/>
        <v>0</v>
      </c>
      <c r="U27" s="91">
        <f t="shared" si="9"/>
        <v>0</v>
      </c>
      <c r="V27" s="91">
        <f t="shared" si="10"/>
        <v>0</v>
      </c>
      <c r="W27" s="91">
        <f t="shared" si="10"/>
        <v>0</v>
      </c>
      <c r="X27" s="92">
        <f t="shared" ref="X27:X57" si="18">SUM(T27:W27)</f>
        <v>0</v>
      </c>
    </row>
    <row r="28" spans="1:24" x14ac:dyDescent="0.25">
      <c r="A28" s="97" t="s">
        <v>53</v>
      </c>
      <c r="B28" s="93" t="s">
        <v>31</v>
      </c>
      <c r="C28" s="93" t="s">
        <v>33</v>
      </c>
      <c r="D28" s="94"/>
      <c r="E28" s="94">
        <v>25000</v>
      </c>
      <c r="F28" s="88">
        <f t="shared" si="15"/>
        <v>25000</v>
      </c>
      <c r="G28" s="94"/>
      <c r="H28" s="88">
        <f t="shared" si="16"/>
        <v>25000</v>
      </c>
      <c r="I28" s="89">
        <f>SUM(H28/'B - Operating Budget'!$D$40)</f>
        <v>4.0828885162391172E-3</v>
      </c>
      <c r="J28" s="95">
        <v>0</v>
      </c>
      <c r="K28" s="96" t="s">
        <v>31</v>
      </c>
      <c r="N28" s="90">
        <f t="shared" si="4"/>
        <v>0</v>
      </c>
      <c r="O28" s="91">
        <f t="shared" si="5"/>
        <v>0</v>
      </c>
      <c r="P28" s="91">
        <f t="shared" si="14"/>
        <v>12500</v>
      </c>
      <c r="Q28" s="91">
        <f t="shared" si="14"/>
        <v>12500</v>
      </c>
      <c r="R28" s="91">
        <f t="shared" si="17"/>
        <v>25000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1892857</v>
      </c>
      <c r="E109" s="127">
        <f>SUM(E7:E103)</f>
        <v>3743629</v>
      </c>
      <c r="F109" s="127">
        <f>SUM(F7:F103)</f>
        <v>5636486</v>
      </c>
      <c r="G109" s="127">
        <f>SUM(G7:G103)</f>
        <v>316630</v>
      </c>
      <c r="H109" s="127">
        <f>SUM(H7:H103)</f>
        <v>5953116</v>
      </c>
      <c r="I109" s="126"/>
      <c r="J109" s="126">
        <f>SUM(J7:J103)</f>
        <v>1176</v>
      </c>
      <c r="K109" s="102"/>
      <c r="N109" s="103">
        <f>SUM(N7:N103)</f>
        <v>0</v>
      </c>
      <c r="O109" s="104">
        <f t="shared" ref="O109:R109" si="29">SUM(O7:O103)</f>
        <v>0</v>
      </c>
      <c r="P109" s="104">
        <f t="shared" si="29"/>
        <v>1871814.5</v>
      </c>
      <c r="Q109" s="104">
        <f t="shared" si="29"/>
        <v>1871814.5</v>
      </c>
      <c r="R109" s="104">
        <f t="shared" si="29"/>
        <v>3743629</v>
      </c>
      <c r="S109" s="105"/>
      <c r="T109" s="104">
        <f>SUM(T7:T103)</f>
        <v>0</v>
      </c>
      <c r="U109" s="104">
        <f t="shared" ref="U109:X109" si="30">SUM(U7:U103)</f>
        <v>0</v>
      </c>
      <c r="V109" s="104">
        <f t="shared" si="30"/>
        <v>158315</v>
      </c>
      <c r="W109" s="104">
        <f t="shared" si="30"/>
        <v>158315</v>
      </c>
      <c r="X109" s="106">
        <f t="shared" si="30"/>
        <v>316630</v>
      </c>
    </row>
  </sheetData>
  <sheetProtection algorithmName="SHA-512" hashValue="JXKKV3MWQab2y0cFqBFmzEqML3sBjqX7oc6tOV+nZCYM8HzMn6NDQkKiuItlDLPQpn7RTdm+FAqFNtdG/8OkFA==" saltValue="BxUP7YTtRfHRn4r5IOiWhA==" spinCount="100000" sheet="1" objects="1" scenarios="1"/>
  <mergeCells count="5">
    <mergeCell ref="N1:X1"/>
    <mergeCell ref="T2:X2"/>
    <mergeCell ref="T3:X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3" width="18.5546875" customWidth="1"/>
    <col min="4" max="4" width="50.5546875" customWidth="1"/>
    <col min="5" max="5" width="40.109375" customWidth="1"/>
    <col min="7" max="7" width="34" customWidth="1"/>
    <col min="8" max="8" width="18.5546875" customWidth="1"/>
    <col min="9" max="9" width="26.109375" style="261" customWidth="1"/>
    <col min="10" max="10" width="28.5546875" customWidth="1"/>
    <col min="11" max="11" width="23.109375" style="261" customWidth="1"/>
    <col min="14" max="14" width="98.88671875" customWidth="1"/>
    <col min="15" max="15" width="19.88671875" customWidth="1"/>
  </cols>
  <sheetData>
    <row r="1" spans="1:15" ht="42.6" customHeight="1" x14ac:dyDescent="0.3">
      <c r="A1" s="250" t="s">
        <v>2</v>
      </c>
      <c r="B1" s="250" t="s">
        <v>404</v>
      </c>
      <c r="C1" s="250" t="s">
        <v>405</v>
      </c>
      <c r="D1" s="65" t="s">
        <v>406</v>
      </c>
      <c r="E1" s="65" t="s">
        <v>407</v>
      </c>
      <c r="G1" s="250" t="s">
        <v>408</v>
      </c>
      <c r="H1" s="250" t="s">
        <v>409</v>
      </c>
      <c r="I1" s="261" t="s">
        <v>410</v>
      </c>
      <c r="J1" s="250" t="s">
        <v>411</v>
      </c>
      <c r="K1" s="265" t="s">
        <v>412</v>
      </c>
      <c r="N1" s="54" t="s">
        <v>413</v>
      </c>
      <c r="O1" s="47" t="s">
        <v>414</v>
      </c>
    </row>
    <row r="2" spans="1:15" ht="43.2" x14ac:dyDescent="0.3">
      <c r="A2" t="s">
        <v>415</v>
      </c>
      <c r="B2" t="s">
        <v>31</v>
      </c>
      <c r="C2" t="s">
        <v>416</v>
      </c>
      <c r="D2" t="s">
        <v>417</v>
      </c>
      <c r="E2" t="s">
        <v>418</v>
      </c>
      <c r="F2" s="66">
        <v>1</v>
      </c>
      <c r="G2" t="s">
        <v>419</v>
      </c>
      <c r="H2" t="s">
        <v>420</v>
      </c>
      <c r="I2" s="261" t="s">
        <v>334</v>
      </c>
      <c r="J2" t="s">
        <v>421</v>
      </c>
      <c r="K2" s="261" t="s">
        <v>422</v>
      </c>
      <c r="N2" s="8" t="s">
        <v>423</v>
      </c>
      <c r="O2" s="48">
        <f>SUM('A-Contracts-Partnerships Matrix'!D109)</f>
        <v>1892857</v>
      </c>
    </row>
    <row r="3" spans="1:15" ht="43.2" x14ac:dyDescent="0.3">
      <c r="A3" t="s">
        <v>424</v>
      </c>
      <c r="B3" t="s">
        <v>30</v>
      </c>
      <c r="C3" t="s">
        <v>33</v>
      </c>
      <c r="D3" t="s">
        <v>425</v>
      </c>
      <c r="E3" t="s">
        <v>426</v>
      </c>
      <c r="F3" s="66">
        <v>0.5</v>
      </c>
      <c r="G3" t="s">
        <v>332</v>
      </c>
      <c r="H3" t="s">
        <v>335</v>
      </c>
      <c r="I3" s="261" t="s">
        <v>427</v>
      </c>
      <c r="J3" t="s">
        <v>428</v>
      </c>
      <c r="K3" s="261" t="s">
        <v>429</v>
      </c>
      <c r="N3" s="8" t="s">
        <v>430</v>
      </c>
      <c r="O3" s="49">
        <f>SUM('B - Operating Budget'!C15+'B - Operating Budget'!C18+'B - Operating Budget'!C23+'B - Operating Budget'!C27)-('B - Operating Budget'!B15+'B - Operating Budget'!B18+'B - Operating Budget'!B23+'B - Operating Budget'!B27)</f>
        <v>150000</v>
      </c>
    </row>
    <row r="4" spans="1:15" ht="28.8" x14ac:dyDescent="0.3">
      <c r="A4" t="s">
        <v>431</v>
      </c>
      <c r="C4" t="s">
        <v>432</v>
      </c>
      <c r="D4" t="s">
        <v>433</v>
      </c>
      <c r="G4" t="s">
        <v>343</v>
      </c>
      <c r="H4" t="s">
        <v>434</v>
      </c>
      <c r="I4" s="261" t="s">
        <v>435</v>
      </c>
      <c r="J4" t="s">
        <v>436</v>
      </c>
      <c r="K4" s="261" t="s">
        <v>342</v>
      </c>
      <c r="N4" s="8" t="s">
        <v>437</v>
      </c>
      <c r="O4" s="48">
        <f>SUM('D- Optional-County Adm Budget'!D117)</f>
        <v>0</v>
      </c>
    </row>
    <row r="5" spans="1:15" ht="21.6" customHeight="1" thickBot="1" x14ac:dyDescent="0.35">
      <c r="A5" t="s">
        <v>438</v>
      </c>
      <c r="C5" t="s">
        <v>439</v>
      </c>
      <c r="D5" t="s">
        <v>327</v>
      </c>
      <c r="J5" t="s">
        <v>440</v>
      </c>
      <c r="K5" s="261" t="s">
        <v>330</v>
      </c>
      <c r="N5" s="8" t="s">
        <v>441</v>
      </c>
      <c r="O5" s="55">
        <f>SUM(O2:O4)</f>
        <v>2042857</v>
      </c>
    </row>
    <row r="6" spans="1:15" ht="18.600000000000001" customHeight="1" thickTop="1" x14ac:dyDescent="0.3">
      <c r="A6" t="s">
        <v>442</v>
      </c>
      <c r="C6" t="s">
        <v>443</v>
      </c>
      <c r="J6" t="s">
        <v>444</v>
      </c>
      <c r="K6" s="261" t="s">
        <v>445</v>
      </c>
      <c r="N6" s="46" t="s">
        <v>446</v>
      </c>
      <c r="O6" s="45"/>
    </row>
    <row r="7" spans="1:15" x14ac:dyDescent="0.3">
      <c r="A7" t="s">
        <v>3</v>
      </c>
      <c r="J7" t="s">
        <v>447</v>
      </c>
      <c r="K7" s="261" t="s">
        <v>448</v>
      </c>
      <c r="N7" s="8" t="s">
        <v>449</v>
      </c>
      <c r="O7" s="48">
        <f>SUM('A-Contracts-Partnerships Matrix'!N109+'A-Contracts-Partnerships Matrix'!P109)</f>
        <v>1871814.5</v>
      </c>
    </row>
    <row r="8" spans="1:15" ht="28.8" x14ac:dyDescent="0.3">
      <c r="J8" t="s">
        <v>450</v>
      </c>
      <c r="K8" s="261" t="s">
        <v>451</v>
      </c>
      <c r="N8" s="8" t="s">
        <v>452</v>
      </c>
      <c r="O8" s="49">
        <f>SUM('B - Operating Budget'!C15+'B - Operating Budget'!C18+'B - Operating Budget'!C23+'B - Operating Budget'!C27)-O3</f>
        <v>0</v>
      </c>
    </row>
    <row r="9" spans="1:15" x14ac:dyDescent="0.3">
      <c r="J9" t="s">
        <v>453</v>
      </c>
      <c r="N9" s="8" t="s">
        <v>454</v>
      </c>
      <c r="O9" s="48">
        <f>SUM('D- Optional-County Adm Budget'!E117)/2</f>
        <v>0</v>
      </c>
    </row>
    <row r="10" spans="1:15" x14ac:dyDescent="0.3">
      <c r="J10" t="s">
        <v>455</v>
      </c>
      <c r="N10" s="8" t="s">
        <v>456</v>
      </c>
      <c r="O10" s="48">
        <f>IF('C -Fund Sources &amp; Total FY Fund'!$E$9&gt;0,'C -Fund Sources &amp; Total FY Fund'!$E$9/2,0)</f>
        <v>0</v>
      </c>
    </row>
    <row r="11" spans="1:15" ht="15" thickBot="1" x14ac:dyDescent="0.35">
      <c r="J11" t="s">
        <v>331</v>
      </c>
      <c r="N11" s="8" t="s">
        <v>457</v>
      </c>
      <c r="O11" s="55">
        <f>SUM(O7:O10)</f>
        <v>1871814.5</v>
      </c>
    </row>
    <row r="12" spans="1:15" ht="15" thickTop="1" x14ac:dyDescent="0.3">
      <c r="N12" s="8"/>
      <c r="O12" s="45"/>
    </row>
    <row r="13" spans="1:15" x14ac:dyDescent="0.3">
      <c r="N13" s="50" t="s">
        <v>458</v>
      </c>
      <c r="O13" s="45"/>
    </row>
    <row r="14" spans="1:15" x14ac:dyDescent="0.3">
      <c r="N14" s="8" t="s">
        <v>459</v>
      </c>
      <c r="O14" s="48">
        <f>SUM('A-Contracts-Partnerships Matrix'!O109+'A-Contracts-Partnerships Matrix'!Q109)</f>
        <v>1871814.5</v>
      </c>
    </row>
    <row r="15" spans="1:15" x14ac:dyDescent="0.3">
      <c r="N15" s="8" t="s">
        <v>460</v>
      </c>
      <c r="O15" s="49">
        <f>SUM('B - Operating Budget'!B15+'B - Operating Budget'!B18+'B - Operating Budget'!B23+'B - Operating Budget'!B27)</f>
        <v>0</v>
      </c>
    </row>
    <row r="16" spans="1:15" x14ac:dyDescent="0.3">
      <c r="N16" s="8" t="s">
        <v>461</v>
      </c>
      <c r="O16" s="48">
        <f>SUM('D- Optional-County Adm Budget'!E117)/2</f>
        <v>0</v>
      </c>
    </row>
    <row r="17" spans="14:15" x14ac:dyDescent="0.3">
      <c r="N17" s="8" t="s">
        <v>456</v>
      </c>
      <c r="O17" s="48">
        <f>IF('C -Fund Sources &amp; Total FY Fund'!$E$9&gt;0,'C -Fund Sources &amp; Total FY Fund'!$E$9/2,0)</f>
        <v>0</v>
      </c>
    </row>
    <row r="18" spans="14:15" ht="15" thickBot="1" x14ac:dyDescent="0.35">
      <c r="N18" s="8" t="s">
        <v>462</v>
      </c>
      <c r="O18" s="55">
        <f>SUM(O14:O17)</f>
        <v>1871814.5</v>
      </c>
    </row>
    <row r="19" spans="14:15" ht="15.6" thickTop="1" thickBot="1" x14ac:dyDescent="0.35">
      <c r="N19" s="51" t="s">
        <v>463</v>
      </c>
      <c r="O19" s="52">
        <f>SUM(O5+O11+O18)</f>
        <v>5786486</v>
      </c>
    </row>
    <row r="20" spans="14:15" ht="15" thickBot="1" x14ac:dyDescent="0.35"/>
    <row r="21" spans="14:15" x14ac:dyDescent="0.3">
      <c r="N21" s="348" t="s">
        <v>464</v>
      </c>
      <c r="O21" s="349"/>
    </row>
    <row r="22" spans="14:15" x14ac:dyDescent="0.3">
      <c r="N22" s="350"/>
      <c r="O22" s="351"/>
    </row>
    <row r="23" spans="14:15" x14ac:dyDescent="0.3">
      <c r="N23" s="350"/>
      <c r="O23" s="351"/>
    </row>
    <row r="24" spans="14:15" x14ac:dyDescent="0.3">
      <c r="N24" s="350"/>
      <c r="O24" s="351"/>
    </row>
    <row r="25" spans="14:15" x14ac:dyDescent="0.3">
      <c r="N25" s="350"/>
      <c r="O25" s="351"/>
    </row>
    <row r="26" spans="14:15" x14ac:dyDescent="0.3">
      <c r="N26" s="350"/>
      <c r="O26" s="351"/>
    </row>
    <row r="27" spans="14:15" x14ac:dyDescent="0.3">
      <c r="N27" s="350"/>
      <c r="O27" s="351"/>
    </row>
    <row r="28" spans="14:15" x14ac:dyDescent="0.3">
      <c r="N28" s="350"/>
      <c r="O28" s="351"/>
    </row>
    <row r="29" spans="14:15" ht="15" thickBot="1" x14ac:dyDescent="0.35">
      <c r="N29" s="352"/>
      <c r="O29" s="353"/>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A2" sqref="A2"/>
    </sheetView>
  </sheetViews>
  <sheetFormatPr defaultColWidth="8.5546875" defaultRowHeight="13.8" x14ac:dyDescent="0.25"/>
  <cols>
    <col min="1" max="2" width="30.5546875" style="24" customWidth="1"/>
    <col min="3" max="3" width="25.5546875" style="24" customWidth="1"/>
    <col min="4" max="5" width="14.5546875" style="24" customWidth="1"/>
    <col min="6" max="7" width="30.5546875" style="24" customWidth="1"/>
    <col min="8" max="8" width="18.44140625" style="24" customWidth="1"/>
    <col min="9" max="9" width="15.88671875" style="24" customWidth="1"/>
    <col min="10" max="16384" width="8.5546875" style="24"/>
  </cols>
  <sheetData>
    <row r="1" spans="1:9" ht="34.5" customHeight="1" x14ac:dyDescent="0.25">
      <c r="A1" s="44" t="s">
        <v>0</v>
      </c>
      <c r="B1" s="39" t="str">
        <f>'A-Contracts-Partnerships Matrix'!B1</f>
        <v>MICHIGAN</v>
      </c>
      <c r="C1" s="39"/>
      <c r="D1" s="39"/>
      <c r="E1" s="39"/>
      <c r="F1" s="39"/>
      <c r="G1" s="39"/>
      <c r="H1" s="40" t="s">
        <v>2</v>
      </c>
      <c r="I1" s="56" t="str">
        <f>'A-Contracts-Partnerships Matrix'!J1</f>
        <v>FY2025</v>
      </c>
    </row>
    <row r="2" spans="1:9" ht="15.6" x14ac:dyDescent="0.3">
      <c r="A2" s="378" t="s">
        <v>54</v>
      </c>
      <c r="B2" s="316"/>
      <c r="C2" s="316"/>
      <c r="D2" s="316"/>
      <c r="E2" s="316"/>
      <c r="F2" s="316"/>
      <c r="G2" s="316"/>
      <c r="H2" s="316"/>
      <c r="I2" s="317"/>
    </row>
    <row r="3" spans="1:9" ht="17.399999999999999" customHeight="1" x14ac:dyDescent="0.3">
      <c r="A3" s="375" t="s">
        <v>55</v>
      </c>
      <c r="B3" s="376"/>
      <c r="C3" s="376"/>
      <c r="D3" s="376"/>
      <c r="E3" s="376"/>
      <c r="F3" s="376"/>
      <c r="G3" s="376"/>
      <c r="H3" s="376"/>
      <c r="I3" s="377"/>
    </row>
    <row r="4" spans="1:9" ht="18" customHeight="1" x14ac:dyDescent="0.3">
      <c r="A4" s="306"/>
      <c r="B4" s="307"/>
      <c r="C4" s="307"/>
      <c r="D4" s="307"/>
      <c r="E4" s="307"/>
      <c r="F4" s="307"/>
      <c r="G4" s="307"/>
      <c r="H4" s="307"/>
      <c r="I4" s="308"/>
    </row>
    <row r="5" spans="1:9" ht="18" customHeight="1" x14ac:dyDescent="0.3">
      <c r="A5" s="193" t="s">
        <v>56</v>
      </c>
      <c r="B5" s="191"/>
      <c r="C5" s="191"/>
      <c r="D5" s="191"/>
      <c r="E5" s="191"/>
      <c r="F5" s="191"/>
      <c r="G5" s="191"/>
      <c r="H5" s="191"/>
      <c r="I5" s="192">
        <f>SUM(I8:I108)</f>
        <v>1146</v>
      </c>
    </row>
    <row r="6" spans="1:9" ht="18" customHeight="1" x14ac:dyDescent="0.3">
      <c r="A6" s="306"/>
      <c r="B6" s="307"/>
      <c r="C6" s="307"/>
      <c r="D6" s="307"/>
      <c r="E6" s="307"/>
      <c r="F6" s="307"/>
      <c r="G6" s="307"/>
      <c r="H6" s="307"/>
      <c r="I6" s="308"/>
    </row>
    <row r="7" spans="1:9" s="73" customFormat="1" ht="41.4" x14ac:dyDescent="0.25">
      <c r="A7" s="117" t="s">
        <v>57</v>
      </c>
      <c r="B7" s="118" t="s">
        <v>58</v>
      </c>
      <c r="C7" s="118" t="s">
        <v>59</v>
      </c>
      <c r="D7" s="118" t="s">
        <v>60</v>
      </c>
      <c r="E7" s="118" t="s">
        <v>61</v>
      </c>
      <c r="F7" s="118" t="s">
        <v>62</v>
      </c>
      <c r="G7" s="118" t="s">
        <v>63</v>
      </c>
      <c r="H7" s="118" t="s">
        <v>64</v>
      </c>
      <c r="I7" s="119" t="s">
        <v>65</v>
      </c>
    </row>
    <row r="8" spans="1:9" ht="207" x14ac:dyDescent="0.25">
      <c r="A8" s="108" t="s">
        <v>29</v>
      </c>
      <c r="B8" s="109" t="s">
        <v>66</v>
      </c>
      <c r="C8" s="109" t="s">
        <v>67</v>
      </c>
      <c r="D8" s="110">
        <v>2012</v>
      </c>
      <c r="E8" s="110" t="s">
        <v>68</v>
      </c>
      <c r="F8" s="109" t="s">
        <v>69</v>
      </c>
      <c r="G8" s="109" t="s">
        <v>70</v>
      </c>
      <c r="H8" s="110" t="s">
        <v>30</v>
      </c>
      <c r="I8" s="111">
        <v>20</v>
      </c>
    </row>
    <row r="9" spans="1:9" ht="207" x14ac:dyDescent="0.25">
      <c r="A9" s="108" t="s">
        <v>71</v>
      </c>
      <c r="B9" s="109" t="s">
        <v>72</v>
      </c>
      <c r="C9" s="109" t="s">
        <v>73</v>
      </c>
      <c r="D9" s="110">
        <v>2013</v>
      </c>
      <c r="E9" s="110">
        <v>2024</v>
      </c>
      <c r="F9" s="109" t="s">
        <v>69</v>
      </c>
      <c r="G9" s="109" t="s">
        <v>70</v>
      </c>
      <c r="H9" s="110" t="s">
        <v>30</v>
      </c>
      <c r="I9" s="111">
        <v>10</v>
      </c>
    </row>
    <row r="10" spans="1:9" ht="12.9" customHeight="1" x14ac:dyDescent="0.25">
      <c r="A10" s="108" t="s">
        <v>74</v>
      </c>
      <c r="B10" s="109" t="s">
        <v>75</v>
      </c>
      <c r="C10" s="109" t="s">
        <v>76</v>
      </c>
      <c r="D10" s="110">
        <v>2020</v>
      </c>
      <c r="E10" s="110">
        <v>2024</v>
      </c>
      <c r="F10" s="109" t="s">
        <v>77</v>
      </c>
      <c r="G10" s="109" t="s">
        <v>70</v>
      </c>
      <c r="H10" s="110" t="s">
        <v>30</v>
      </c>
      <c r="I10" s="111">
        <v>35</v>
      </c>
    </row>
    <row r="11" spans="1:9" ht="207" x14ac:dyDescent="0.25">
      <c r="A11" s="108" t="s">
        <v>78</v>
      </c>
      <c r="B11" s="109" t="s">
        <v>79</v>
      </c>
      <c r="C11" s="109" t="s">
        <v>76</v>
      </c>
      <c r="D11" s="110">
        <v>2020</v>
      </c>
      <c r="E11" s="110">
        <v>2024</v>
      </c>
      <c r="F11" s="109" t="s">
        <v>77</v>
      </c>
      <c r="G11" s="109" t="s">
        <v>70</v>
      </c>
      <c r="H11" s="110" t="s">
        <v>30</v>
      </c>
      <c r="I11" s="111">
        <v>35</v>
      </c>
    </row>
    <row r="12" spans="1:9" ht="207" x14ac:dyDescent="0.25">
      <c r="A12" s="108" t="s">
        <v>78</v>
      </c>
      <c r="B12" s="109" t="s">
        <v>80</v>
      </c>
      <c r="C12" s="109" t="s">
        <v>76</v>
      </c>
      <c r="D12" s="110">
        <v>2017</v>
      </c>
      <c r="E12" s="110">
        <v>2024</v>
      </c>
      <c r="F12" s="109" t="s">
        <v>77</v>
      </c>
      <c r="G12" s="109" t="s">
        <v>70</v>
      </c>
      <c r="H12" s="110" t="s">
        <v>30</v>
      </c>
      <c r="I12" s="111">
        <v>35</v>
      </c>
    </row>
    <row r="13" spans="1:9" ht="55.2" x14ac:dyDescent="0.25">
      <c r="A13" s="108" t="s">
        <v>81</v>
      </c>
      <c r="B13" s="109" t="s">
        <v>82</v>
      </c>
      <c r="C13" s="109" t="s">
        <v>76</v>
      </c>
      <c r="D13" s="110">
        <v>2020</v>
      </c>
      <c r="E13" s="110">
        <v>2025</v>
      </c>
      <c r="F13" s="109" t="s">
        <v>83</v>
      </c>
      <c r="G13" s="109" t="s">
        <v>84</v>
      </c>
      <c r="H13" s="110" t="s">
        <v>30</v>
      </c>
      <c r="I13" s="111">
        <v>72</v>
      </c>
    </row>
    <row r="14" spans="1:9" ht="27.6" x14ac:dyDescent="0.25">
      <c r="A14" s="108" t="s">
        <v>81</v>
      </c>
      <c r="B14" s="109" t="s">
        <v>85</v>
      </c>
      <c r="C14" s="109" t="s">
        <v>76</v>
      </c>
      <c r="D14" s="110">
        <v>2017</v>
      </c>
      <c r="E14" s="110">
        <v>2025</v>
      </c>
      <c r="F14" s="109" t="s">
        <v>86</v>
      </c>
      <c r="G14" s="109" t="s">
        <v>87</v>
      </c>
      <c r="H14" s="110" t="s">
        <v>30</v>
      </c>
      <c r="I14" s="111">
        <v>40</v>
      </c>
    </row>
    <row r="15" spans="1:9" ht="82.8" x14ac:dyDescent="0.25">
      <c r="A15" s="108" t="s">
        <v>81</v>
      </c>
      <c r="B15" s="109" t="s">
        <v>88</v>
      </c>
      <c r="C15" s="109" t="s">
        <v>76</v>
      </c>
      <c r="D15" s="110">
        <v>2019</v>
      </c>
      <c r="E15" s="110">
        <v>2025</v>
      </c>
      <c r="F15" s="109" t="s">
        <v>89</v>
      </c>
      <c r="G15" s="109" t="s">
        <v>90</v>
      </c>
      <c r="H15" s="110" t="s">
        <v>30</v>
      </c>
      <c r="I15" s="111">
        <v>118</v>
      </c>
    </row>
    <row r="16" spans="1:9" ht="69" x14ac:dyDescent="0.25">
      <c r="A16" s="108" t="s">
        <v>81</v>
      </c>
      <c r="B16" s="109" t="s">
        <v>91</v>
      </c>
      <c r="C16" s="109" t="s">
        <v>76</v>
      </c>
      <c r="D16" s="110">
        <v>2019</v>
      </c>
      <c r="E16" s="110">
        <v>2025</v>
      </c>
      <c r="F16" s="109" t="s">
        <v>92</v>
      </c>
      <c r="G16" s="109" t="s">
        <v>93</v>
      </c>
      <c r="H16" s="110" t="s">
        <v>30</v>
      </c>
      <c r="I16" s="111">
        <v>30</v>
      </c>
    </row>
    <row r="17" spans="1:9" ht="41.4" x14ac:dyDescent="0.25">
      <c r="A17" s="108" t="s">
        <v>81</v>
      </c>
      <c r="B17" s="109" t="s">
        <v>94</v>
      </c>
      <c r="C17" s="109" t="s">
        <v>76</v>
      </c>
      <c r="D17" s="110">
        <v>2017</v>
      </c>
      <c r="E17" s="110">
        <v>2025</v>
      </c>
      <c r="F17" s="109" t="s">
        <v>95</v>
      </c>
      <c r="G17" s="109" t="s">
        <v>96</v>
      </c>
      <c r="H17" s="110" t="s">
        <v>30</v>
      </c>
      <c r="I17" s="111">
        <v>24</v>
      </c>
    </row>
    <row r="18" spans="1:9" ht="27.6" x14ac:dyDescent="0.25">
      <c r="A18" s="108" t="s">
        <v>81</v>
      </c>
      <c r="B18" s="109" t="s">
        <v>97</v>
      </c>
      <c r="C18" s="109" t="s">
        <v>76</v>
      </c>
      <c r="D18" s="110">
        <v>2018</v>
      </c>
      <c r="E18" s="110">
        <v>2025</v>
      </c>
      <c r="F18" s="109" t="s">
        <v>98</v>
      </c>
      <c r="G18" s="109" t="s">
        <v>99</v>
      </c>
      <c r="H18" s="110" t="s">
        <v>30</v>
      </c>
      <c r="I18" s="111">
        <v>65</v>
      </c>
    </row>
    <row r="19" spans="1:9" ht="82.8" x14ac:dyDescent="0.25">
      <c r="A19" s="108" t="s">
        <v>81</v>
      </c>
      <c r="B19" s="109" t="s">
        <v>100</v>
      </c>
      <c r="C19" s="109" t="s">
        <v>76</v>
      </c>
      <c r="D19" s="110">
        <v>2022</v>
      </c>
      <c r="E19" s="110">
        <v>2025</v>
      </c>
      <c r="F19" s="109" t="s">
        <v>101</v>
      </c>
      <c r="G19" s="109" t="s">
        <v>102</v>
      </c>
      <c r="H19" s="110" t="s">
        <v>30</v>
      </c>
      <c r="I19" s="111">
        <v>5</v>
      </c>
    </row>
    <row r="20" spans="1:9" ht="193.2" x14ac:dyDescent="0.25">
      <c r="A20" s="108" t="s">
        <v>103</v>
      </c>
      <c r="B20" s="109" t="s">
        <v>104</v>
      </c>
      <c r="C20" s="109" t="s">
        <v>105</v>
      </c>
      <c r="D20" s="110">
        <v>2014</v>
      </c>
      <c r="E20" s="110">
        <v>2025</v>
      </c>
      <c r="F20" s="109" t="s">
        <v>77</v>
      </c>
      <c r="G20" s="109" t="s">
        <v>106</v>
      </c>
      <c r="H20" s="110" t="s">
        <v>30</v>
      </c>
      <c r="I20" s="111">
        <v>10</v>
      </c>
    </row>
    <row r="21" spans="1:9" ht="207" x14ac:dyDescent="0.25">
      <c r="A21" s="108" t="s">
        <v>103</v>
      </c>
      <c r="B21" s="109" t="s">
        <v>107</v>
      </c>
      <c r="C21" s="109" t="s">
        <v>108</v>
      </c>
      <c r="D21" s="110">
        <v>2014</v>
      </c>
      <c r="E21" s="110">
        <v>2025</v>
      </c>
      <c r="F21" s="109" t="s">
        <v>77</v>
      </c>
      <c r="G21" s="109" t="s">
        <v>70</v>
      </c>
      <c r="H21" s="110" t="s">
        <v>30</v>
      </c>
      <c r="I21" s="111">
        <v>10</v>
      </c>
    </row>
    <row r="22" spans="1:9" ht="207" x14ac:dyDescent="0.25">
      <c r="A22" s="108" t="s">
        <v>29</v>
      </c>
      <c r="B22" s="109" t="s">
        <v>109</v>
      </c>
      <c r="C22" s="109" t="s">
        <v>110</v>
      </c>
      <c r="D22" s="110">
        <v>2023</v>
      </c>
      <c r="E22" s="110" t="s">
        <v>68</v>
      </c>
      <c r="F22" s="109" t="s">
        <v>69</v>
      </c>
      <c r="G22" s="109" t="s">
        <v>70</v>
      </c>
      <c r="H22" s="110" t="s">
        <v>30</v>
      </c>
      <c r="I22" s="111">
        <v>30</v>
      </c>
    </row>
    <row r="23" spans="1:9" ht="207" x14ac:dyDescent="0.25">
      <c r="A23" s="108" t="s">
        <v>111</v>
      </c>
      <c r="B23" s="109" t="s">
        <v>112</v>
      </c>
      <c r="C23" s="109" t="s">
        <v>113</v>
      </c>
      <c r="D23" s="110">
        <v>2020</v>
      </c>
      <c r="E23" s="110">
        <v>2024</v>
      </c>
      <c r="F23" s="109" t="s">
        <v>69</v>
      </c>
      <c r="G23" s="109" t="s">
        <v>70</v>
      </c>
      <c r="H23" s="110" t="s">
        <v>30</v>
      </c>
      <c r="I23" s="111">
        <v>60</v>
      </c>
    </row>
    <row r="24" spans="1:9" ht="207" x14ac:dyDescent="0.25">
      <c r="A24" s="108" t="s">
        <v>111</v>
      </c>
      <c r="B24" s="109" t="s">
        <v>104</v>
      </c>
      <c r="C24" s="109" t="s">
        <v>114</v>
      </c>
      <c r="D24" s="110">
        <v>2023</v>
      </c>
      <c r="E24" s="110">
        <v>2024</v>
      </c>
      <c r="F24" s="109" t="s">
        <v>69</v>
      </c>
      <c r="G24" s="109" t="s">
        <v>70</v>
      </c>
      <c r="H24" s="110" t="s">
        <v>30</v>
      </c>
      <c r="I24" s="111">
        <v>10</v>
      </c>
    </row>
    <row r="25" spans="1:9" ht="55.2" x14ac:dyDescent="0.25">
      <c r="A25" s="108" t="s">
        <v>115</v>
      </c>
      <c r="B25" s="109" t="s">
        <v>116</v>
      </c>
      <c r="C25" s="109" t="s">
        <v>113</v>
      </c>
      <c r="D25" s="110">
        <v>2023</v>
      </c>
      <c r="E25" s="110">
        <v>2025</v>
      </c>
      <c r="F25" s="109" t="s">
        <v>117</v>
      </c>
      <c r="G25" s="109" t="s">
        <v>118</v>
      </c>
      <c r="H25" s="110" t="s">
        <v>30</v>
      </c>
      <c r="I25" s="111">
        <v>50</v>
      </c>
    </row>
    <row r="26" spans="1:9" ht="55.2" x14ac:dyDescent="0.25">
      <c r="A26" s="108" t="s">
        <v>115</v>
      </c>
      <c r="B26" s="109" t="s">
        <v>119</v>
      </c>
      <c r="C26" s="109" t="s">
        <v>113</v>
      </c>
      <c r="D26" s="110">
        <v>2024</v>
      </c>
      <c r="E26" s="110">
        <v>2025</v>
      </c>
      <c r="F26" s="109" t="s">
        <v>120</v>
      </c>
      <c r="G26" s="109" t="s">
        <v>121</v>
      </c>
      <c r="H26" s="110" t="s">
        <v>30</v>
      </c>
      <c r="I26" s="111">
        <v>50</v>
      </c>
    </row>
    <row r="27" spans="1:9" ht="41.4" x14ac:dyDescent="0.25">
      <c r="A27" s="108" t="s">
        <v>115</v>
      </c>
      <c r="B27" s="109" t="s">
        <v>122</v>
      </c>
      <c r="C27" s="109" t="s">
        <v>113</v>
      </c>
      <c r="D27" s="110">
        <v>2024</v>
      </c>
      <c r="E27" s="110">
        <v>2025</v>
      </c>
      <c r="F27" s="109" t="s">
        <v>123</v>
      </c>
      <c r="G27" s="109" t="s">
        <v>124</v>
      </c>
      <c r="H27" s="110" t="s">
        <v>30</v>
      </c>
      <c r="I27" s="111">
        <v>20</v>
      </c>
    </row>
    <row r="28" spans="1:9" ht="41.4" x14ac:dyDescent="0.25">
      <c r="A28" s="108" t="s">
        <v>115</v>
      </c>
      <c r="B28" s="109" t="s">
        <v>125</v>
      </c>
      <c r="C28" s="109" t="s">
        <v>126</v>
      </c>
      <c r="D28" s="110">
        <v>2023</v>
      </c>
      <c r="E28" s="110">
        <v>2025</v>
      </c>
      <c r="F28" s="109" t="s">
        <v>127</v>
      </c>
      <c r="G28" s="109" t="s">
        <v>128</v>
      </c>
      <c r="H28" s="110" t="s">
        <v>30</v>
      </c>
      <c r="I28" s="111">
        <v>60</v>
      </c>
    </row>
    <row r="29" spans="1:9" ht="193.2" x14ac:dyDescent="0.25">
      <c r="A29" s="108" t="s">
        <v>29</v>
      </c>
      <c r="B29" s="109" t="s">
        <v>129</v>
      </c>
      <c r="C29" s="109" t="s">
        <v>130</v>
      </c>
      <c r="D29" s="110">
        <v>2016</v>
      </c>
      <c r="E29" s="110" t="s">
        <v>68</v>
      </c>
      <c r="F29" s="109" t="s">
        <v>69</v>
      </c>
      <c r="G29" s="109" t="s">
        <v>106</v>
      </c>
      <c r="H29" s="110" t="s">
        <v>30</v>
      </c>
      <c r="I29" s="111">
        <v>50</v>
      </c>
    </row>
    <row r="30" spans="1:9" ht="207" x14ac:dyDescent="0.25">
      <c r="A30" s="108" t="s">
        <v>131</v>
      </c>
      <c r="B30" s="109" t="s">
        <v>132</v>
      </c>
      <c r="C30" s="109" t="s">
        <v>133</v>
      </c>
      <c r="D30" s="110">
        <v>2016</v>
      </c>
      <c r="E30" s="110">
        <v>2026</v>
      </c>
      <c r="F30" s="109" t="s">
        <v>77</v>
      </c>
      <c r="G30" s="109" t="s">
        <v>70</v>
      </c>
      <c r="H30" s="110" t="s">
        <v>30</v>
      </c>
      <c r="I30" s="111">
        <v>45</v>
      </c>
    </row>
    <row r="31" spans="1:9" ht="207" x14ac:dyDescent="0.25">
      <c r="A31" s="108" t="s">
        <v>134</v>
      </c>
      <c r="B31" s="109" t="s">
        <v>135</v>
      </c>
      <c r="C31" s="109" t="s">
        <v>136</v>
      </c>
      <c r="D31" s="110">
        <v>2006</v>
      </c>
      <c r="E31" s="110">
        <v>2024</v>
      </c>
      <c r="F31" s="109" t="s">
        <v>77</v>
      </c>
      <c r="G31" s="109" t="s">
        <v>70</v>
      </c>
      <c r="H31" s="110" t="s">
        <v>30</v>
      </c>
      <c r="I31" s="111">
        <v>25</v>
      </c>
    </row>
    <row r="32" spans="1:9" ht="207" x14ac:dyDescent="0.25">
      <c r="A32" s="108" t="s">
        <v>134</v>
      </c>
      <c r="B32" s="109" t="s">
        <v>137</v>
      </c>
      <c r="C32" s="109" t="s">
        <v>138</v>
      </c>
      <c r="D32" s="110">
        <v>2002</v>
      </c>
      <c r="E32" s="110">
        <v>2024</v>
      </c>
      <c r="F32" s="109" t="s">
        <v>69</v>
      </c>
      <c r="G32" s="109" t="s">
        <v>70</v>
      </c>
      <c r="H32" s="110" t="s">
        <v>30</v>
      </c>
      <c r="I32" s="111">
        <v>50</v>
      </c>
    </row>
    <row r="33" spans="1:9" ht="55.2" x14ac:dyDescent="0.25">
      <c r="A33" s="108" t="s">
        <v>139</v>
      </c>
      <c r="B33" s="109" t="s">
        <v>82</v>
      </c>
      <c r="C33" s="109" t="s">
        <v>138</v>
      </c>
      <c r="D33" s="110">
        <v>2022</v>
      </c>
      <c r="E33" s="110">
        <v>2025</v>
      </c>
      <c r="F33" s="109" t="s">
        <v>83</v>
      </c>
      <c r="G33" s="109" t="s">
        <v>84</v>
      </c>
      <c r="H33" s="110" t="s">
        <v>30</v>
      </c>
      <c r="I33" s="111">
        <v>26</v>
      </c>
    </row>
    <row r="34" spans="1:9" ht="82.8" x14ac:dyDescent="0.25">
      <c r="A34" s="108" t="s">
        <v>140</v>
      </c>
      <c r="B34" s="109" t="s">
        <v>88</v>
      </c>
      <c r="C34" s="109" t="s">
        <v>138</v>
      </c>
      <c r="D34" s="110">
        <v>2022</v>
      </c>
      <c r="E34" s="110">
        <v>2025</v>
      </c>
      <c r="F34" s="109" t="s">
        <v>141</v>
      </c>
      <c r="G34" s="109" t="s">
        <v>142</v>
      </c>
      <c r="H34" s="110" t="s">
        <v>30</v>
      </c>
      <c r="I34" s="111">
        <v>70</v>
      </c>
    </row>
    <row r="35" spans="1:9" ht="41.4" x14ac:dyDescent="0.25">
      <c r="A35" s="108" t="s">
        <v>140</v>
      </c>
      <c r="B35" s="109" t="s">
        <v>100</v>
      </c>
      <c r="C35" s="109" t="s">
        <v>138</v>
      </c>
      <c r="D35" s="110">
        <v>2023</v>
      </c>
      <c r="E35" s="110">
        <v>2025</v>
      </c>
      <c r="F35" s="109" t="s">
        <v>101</v>
      </c>
      <c r="G35" s="109" t="s">
        <v>143</v>
      </c>
      <c r="H35" s="110" t="s">
        <v>30</v>
      </c>
      <c r="I35" s="111">
        <v>5</v>
      </c>
    </row>
    <row r="36" spans="1:9" ht="207" x14ac:dyDescent="0.25">
      <c r="A36" s="108" t="s">
        <v>29</v>
      </c>
      <c r="B36" s="109" t="s">
        <v>144</v>
      </c>
      <c r="C36" s="109" t="s">
        <v>145</v>
      </c>
      <c r="D36" s="110">
        <v>2013</v>
      </c>
      <c r="E36" s="110" t="s">
        <v>68</v>
      </c>
      <c r="F36" s="109" t="s">
        <v>77</v>
      </c>
      <c r="G36" s="109" t="s">
        <v>70</v>
      </c>
      <c r="H36" s="110" t="s">
        <v>30</v>
      </c>
      <c r="I36" s="111">
        <v>40</v>
      </c>
    </row>
    <row r="37" spans="1:9" ht="207" x14ac:dyDescent="0.25">
      <c r="A37" s="108" t="s">
        <v>29</v>
      </c>
      <c r="B37" s="109" t="s">
        <v>146</v>
      </c>
      <c r="C37" s="109" t="s">
        <v>147</v>
      </c>
      <c r="D37" s="110">
        <v>2016</v>
      </c>
      <c r="E37" s="110" t="s">
        <v>68</v>
      </c>
      <c r="F37" s="109" t="s">
        <v>77</v>
      </c>
      <c r="G37" s="109" t="s">
        <v>70</v>
      </c>
      <c r="H37" s="110" t="s">
        <v>30</v>
      </c>
      <c r="I37" s="111">
        <v>30</v>
      </c>
    </row>
    <row r="38" spans="1:9" ht="27.6" x14ac:dyDescent="0.25">
      <c r="A38" s="108" t="s">
        <v>148</v>
      </c>
      <c r="B38" s="109" t="s">
        <v>149</v>
      </c>
      <c r="C38" s="109" t="s">
        <v>150</v>
      </c>
      <c r="D38" s="110">
        <v>2018</v>
      </c>
      <c r="E38" s="110">
        <v>2025</v>
      </c>
      <c r="F38" s="109" t="s">
        <v>151</v>
      </c>
      <c r="G38" s="109" t="s">
        <v>152</v>
      </c>
      <c r="H38" s="110" t="s">
        <v>30</v>
      </c>
      <c r="I38" s="111">
        <v>8</v>
      </c>
    </row>
    <row r="39" spans="1:9" ht="55.2" x14ac:dyDescent="0.25">
      <c r="A39" s="108" t="s">
        <v>148</v>
      </c>
      <c r="B39" s="109" t="s">
        <v>153</v>
      </c>
      <c r="C39" s="109" t="s">
        <v>154</v>
      </c>
      <c r="D39" s="110">
        <v>2017</v>
      </c>
      <c r="E39" s="110">
        <v>2025</v>
      </c>
      <c r="F39" s="109" t="s">
        <v>155</v>
      </c>
      <c r="G39" s="109" t="s">
        <v>156</v>
      </c>
      <c r="H39" s="110" t="s">
        <v>30</v>
      </c>
      <c r="I39" s="111">
        <v>8</v>
      </c>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157</v>
      </c>
      <c r="B113" s="116"/>
      <c r="C113" s="116"/>
      <c r="D113" s="116"/>
      <c r="E113" s="116"/>
      <c r="F113" s="116"/>
      <c r="G113" s="116"/>
      <c r="H113" s="116"/>
      <c r="I113" s="116">
        <f>SUM(I8:I108)</f>
        <v>1146</v>
      </c>
    </row>
  </sheetData>
  <sheetProtection algorithmName="SHA-512" hashValue="7IJ5o9/LoSHATX0uRjGZkntKVjOlzfYNCC/S2iFjNoS/wHCNejtz94z9AnZqcQBVHga1elRIeRAxT4tyMW5UqA==" saltValue="Y+nODnYKmTO2Y/Exo1i3ew==" spinCount="100000" sheet="1" objects="1" scenarios="1"/>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94" zoomScaleNormal="94" workbookViewId="0">
      <selection activeCell="A3" sqref="A3:D3"/>
    </sheetView>
  </sheetViews>
  <sheetFormatPr defaultColWidth="8.5546875" defaultRowHeight="13.8" x14ac:dyDescent="0.25"/>
  <cols>
    <col min="1" max="1" width="40.5546875" style="73" customWidth="1"/>
    <col min="2" max="4" width="20.5546875" style="24" customWidth="1"/>
    <col min="5" max="16384" width="8.5546875" style="24"/>
  </cols>
  <sheetData>
    <row r="1" spans="1:4" x14ac:dyDescent="0.25">
      <c r="A1" s="44" t="s">
        <v>0</v>
      </c>
      <c r="B1" s="39" t="str">
        <f>'A-Contracts-Partnerships Matrix'!B1</f>
        <v>MICHIGAN</v>
      </c>
      <c r="C1" s="40" t="s">
        <v>2</v>
      </c>
      <c r="D1" s="56" t="str">
        <f>'A-Contracts-Partnerships Matrix'!J1</f>
        <v>FY2025</v>
      </c>
    </row>
    <row r="2" spans="1:4" ht="16.2" thickBot="1" x14ac:dyDescent="0.35">
      <c r="A2" s="318" t="s">
        <v>158</v>
      </c>
      <c r="B2" s="309"/>
      <c r="C2" s="309"/>
      <c r="D2" s="319"/>
    </row>
    <row r="3" spans="1:4" ht="20.399999999999999" customHeight="1" thickBot="1" x14ac:dyDescent="0.35">
      <c r="A3" s="372" t="s">
        <v>159</v>
      </c>
      <c r="B3" s="373"/>
      <c r="C3" s="373"/>
      <c r="D3" s="374"/>
    </row>
    <row r="4" spans="1:4" x14ac:dyDescent="0.25">
      <c r="A4" s="128" t="s">
        <v>160</v>
      </c>
      <c r="B4" s="129" t="s">
        <v>161</v>
      </c>
      <c r="C4" s="129" t="s">
        <v>162</v>
      </c>
      <c r="D4" s="130" t="s">
        <v>157</v>
      </c>
    </row>
    <row r="5" spans="1:4" x14ac:dyDescent="0.25">
      <c r="A5" s="131" t="s">
        <v>163</v>
      </c>
      <c r="B5" s="132"/>
      <c r="C5" s="132"/>
      <c r="D5" s="133"/>
    </row>
    <row r="6" spans="1:4" x14ac:dyDescent="0.25">
      <c r="A6" s="134" t="s">
        <v>164</v>
      </c>
      <c r="B6" s="135"/>
      <c r="C6" s="135">
        <v>126000</v>
      </c>
      <c r="D6" s="136">
        <f>SUM(B6:C6)</f>
        <v>126000</v>
      </c>
    </row>
    <row r="7" spans="1:4" ht="55.2" x14ac:dyDescent="0.25">
      <c r="A7" s="134" t="s">
        <v>165</v>
      </c>
      <c r="B7" s="137"/>
      <c r="C7" s="137"/>
      <c r="D7" s="138"/>
    </row>
    <row r="8" spans="1:4" x14ac:dyDescent="0.25">
      <c r="A8" s="139"/>
      <c r="B8" s="140">
        <f>ROUND(SUM(B6*$A$8),0)</f>
        <v>0</v>
      </c>
      <c r="C8" s="140">
        <f>ROUND(SUM(C6*$A$8),0)</f>
        <v>0</v>
      </c>
      <c r="D8" s="136">
        <f>ROUND(SUM(B8:C8),0)</f>
        <v>0</v>
      </c>
    </row>
    <row r="9" spans="1:4" x14ac:dyDescent="0.25">
      <c r="A9" s="141" t="s">
        <v>166</v>
      </c>
      <c r="B9" s="135"/>
      <c r="C9" s="135"/>
      <c r="D9" s="136">
        <f>ROUND(SUM(B9:C9),0)</f>
        <v>0</v>
      </c>
    </row>
    <row r="10" spans="1:4" x14ac:dyDescent="0.25">
      <c r="A10" s="142" t="s">
        <v>167</v>
      </c>
      <c r="B10" s="135"/>
      <c r="C10" s="135">
        <v>19000</v>
      </c>
      <c r="D10" s="136">
        <f t="shared" ref="D10:D15" si="0">SUM(B10:C10)</f>
        <v>19000</v>
      </c>
    </row>
    <row r="11" spans="1:4" x14ac:dyDescent="0.25">
      <c r="A11" s="142" t="s">
        <v>168</v>
      </c>
      <c r="B11" s="135"/>
      <c r="C11" s="135"/>
      <c r="D11" s="136">
        <f t="shared" si="0"/>
        <v>0</v>
      </c>
    </row>
    <row r="12" spans="1:4" x14ac:dyDescent="0.25">
      <c r="A12" s="142" t="s">
        <v>169</v>
      </c>
      <c r="B12" s="135">
        <v>0</v>
      </c>
      <c r="C12" s="135">
        <v>5000</v>
      </c>
      <c r="D12" s="136">
        <f t="shared" si="0"/>
        <v>5000</v>
      </c>
    </row>
    <row r="13" spans="1:4" x14ac:dyDescent="0.25">
      <c r="A13" s="142" t="s">
        <v>170</v>
      </c>
      <c r="B13" s="135">
        <v>0</v>
      </c>
      <c r="C13" s="135"/>
      <c r="D13" s="136">
        <f t="shared" si="0"/>
        <v>0</v>
      </c>
    </row>
    <row r="14" spans="1:4" x14ac:dyDescent="0.25">
      <c r="A14" s="142" t="s">
        <v>171</v>
      </c>
      <c r="B14" s="135"/>
      <c r="C14" s="135"/>
      <c r="D14" s="136">
        <f t="shared" si="0"/>
        <v>0</v>
      </c>
    </row>
    <row r="15" spans="1:4" x14ac:dyDescent="0.25">
      <c r="A15" s="143" t="s">
        <v>172</v>
      </c>
      <c r="B15" s="140">
        <f>SUM(B6:B14)</f>
        <v>0</v>
      </c>
      <c r="C15" s="140">
        <f>SUM(C6:C14)</f>
        <v>150000</v>
      </c>
      <c r="D15" s="136">
        <f t="shared" si="0"/>
        <v>150000</v>
      </c>
    </row>
    <row r="16" spans="1:4" ht="41.4" x14ac:dyDescent="0.25">
      <c r="A16" s="144" t="s">
        <v>173</v>
      </c>
      <c r="B16" s="140">
        <f>SUM('A-Contracts-Partnerships Matrix'!O109+'A-Contracts-Partnerships Matrix'!Q109)</f>
        <v>1871814.5</v>
      </c>
      <c r="C16" s="140">
        <f>SUM('A-Contracts-Partnerships Matrix'!N109+'A-Contracts-Partnerships Matrix'!P109)+'A-Contracts-Partnerships Matrix'!D109</f>
        <v>3764671.5</v>
      </c>
      <c r="D16" s="136">
        <f>SUM(B16:C16)</f>
        <v>5636486</v>
      </c>
    </row>
    <row r="17" spans="1:4" ht="41.4" x14ac:dyDescent="0.25">
      <c r="A17" s="144" t="s">
        <v>174</v>
      </c>
      <c r="B17" s="140">
        <f>SUM('D- Optional-County Adm Budget'!E117)/2</f>
        <v>0</v>
      </c>
      <c r="C17" s="140">
        <f>SUM('D- Optional-County Adm Budget'!E117)/2+'D- Optional-County Adm Budget'!D117</f>
        <v>0</v>
      </c>
      <c r="D17" s="136">
        <f>SUM(B17:C17)</f>
        <v>0</v>
      </c>
    </row>
    <row r="18" spans="1:4" ht="63.75" customHeight="1" x14ac:dyDescent="0.25">
      <c r="A18" s="134" t="s">
        <v>175</v>
      </c>
      <c r="B18" s="135"/>
      <c r="C18" s="135"/>
      <c r="D18" s="136">
        <f>SUM(B18:C18)</f>
        <v>0</v>
      </c>
    </row>
    <row r="19" spans="1:4" x14ac:dyDescent="0.25">
      <c r="A19" s="144" t="s">
        <v>176</v>
      </c>
      <c r="B19" s="140">
        <f>SUM(B15:B18)</f>
        <v>1871814.5</v>
      </c>
      <c r="C19" s="140">
        <f>SUM(C15:C18)</f>
        <v>3914671.5</v>
      </c>
      <c r="D19" s="136">
        <f>SUM(B19:C19)</f>
        <v>5786486</v>
      </c>
    </row>
    <row r="20" spans="1:4" x14ac:dyDescent="0.25">
      <c r="A20" s="145"/>
      <c r="B20" s="132"/>
      <c r="C20" s="132"/>
      <c r="D20" s="133"/>
    </row>
    <row r="21" spans="1:4" ht="55.2" x14ac:dyDescent="0.25">
      <c r="A21" s="131" t="s">
        <v>177</v>
      </c>
      <c r="B21" s="132"/>
      <c r="C21" s="132"/>
      <c r="D21" s="133"/>
    </row>
    <row r="22" spans="1:4" ht="27.6" x14ac:dyDescent="0.25">
      <c r="A22" s="145" t="s">
        <v>178</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7.6" x14ac:dyDescent="0.25">
      <c r="A25" s="139" t="s">
        <v>179</v>
      </c>
      <c r="B25" s="135"/>
      <c r="C25" s="135"/>
      <c r="D25" s="136">
        <f t="shared" ref="D25:D26" si="1">SUM(B25:C25)</f>
        <v>0</v>
      </c>
    </row>
    <row r="26" spans="1:4" ht="41.4" x14ac:dyDescent="0.25">
      <c r="A26" s="139" t="s">
        <v>180</v>
      </c>
      <c r="B26" s="135"/>
      <c r="C26" s="135"/>
      <c r="D26" s="136">
        <f t="shared" si="1"/>
        <v>0</v>
      </c>
    </row>
    <row r="27" spans="1:4" ht="27.6" x14ac:dyDescent="0.25">
      <c r="A27" s="139" t="s">
        <v>181</v>
      </c>
      <c r="B27" s="147">
        <f>SUM(B25:B26)</f>
        <v>0</v>
      </c>
      <c r="C27" s="147">
        <f>SUM(C25:C26)</f>
        <v>0</v>
      </c>
      <c r="D27" s="136">
        <f>SUM(B27:C27)</f>
        <v>0</v>
      </c>
    </row>
    <row r="28" spans="1:4" x14ac:dyDescent="0.25">
      <c r="A28" s="145"/>
      <c r="B28" s="132"/>
      <c r="C28" s="132"/>
      <c r="D28" s="133"/>
    </row>
    <row r="29" spans="1:4" x14ac:dyDescent="0.25">
      <c r="A29" s="131" t="s">
        <v>182</v>
      </c>
      <c r="B29" s="132"/>
      <c r="C29" s="132"/>
      <c r="D29" s="133"/>
    </row>
    <row r="30" spans="1:4" x14ac:dyDescent="0.25">
      <c r="A30" s="134" t="s">
        <v>183</v>
      </c>
      <c r="B30" s="135">
        <v>0</v>
      </c>
      <c r="C30" s="135">
        <v>0</v>
      </c>
      <c r="D30" s="136">
        <f>SUM(B30:C30)</f>
        <v>0</v>
      </c>
    </row>
    <row r="31" spans="1:4" x14ac:dyDescent="0.25">
      <c r="A31" s="145"/>
      <c r="B31" s="132"/>
      <c r="C31" s="132"/>
      <c r="D31" s="133"/>
    </row>
    <row r="32" spans="1:4" x14ac:dyDescent="0.25">
      <c r="A32" s="148" t="s">
        <v>184</v>
      </c>
      <c r="B32" s="140">
        <f>SUM(B19+B23+B27+B30)</f>
        <v>1871814.5</v>
      </c>
      <c r="C32" s="140">
        <f t="shared" ref="C32:D32" si="2">SUM(C19+C23+C27+C30)</f>
        <v>3914671.5</v>
      </c>
      <c r="D32" s="140">
        <f t="shared" si="2"/>
        <v>5786486</v>
      </c>
    </row>
    <row r="33" spans="1:13" x14ac:dyDescent="0.25">
      <c r="A33" s="145"/>
      <c r="B33" s="132"/>
      <c r="C33" s="132"/>
      <c r="D33" s="133"/>
    </row>
    <row r="34" spans="1:13" x14ac:dyDescent="0.25">
      <c r="A34" s="131" t="s">
        <v>185</v>
      </c>
      <c r="B34" s="132"/>
      <c r="C34" s="132"/>
      <c r="D34" s="133"/>
    </row>
    <row r="35" spans="1:13" ht="41.4" x14ac:dyDescent="0.25">
      <c r="A35" s="134" t="s">
        <v>186</v>
      </c>
      <c r="B35" s="135"/>
      <c r="C35" s="135"/>
      <c r="D35" s="136">
        <f>SUM(B35:C35)</f>
        <v>0</v>
      </c>
      <c r="E35" s="73"/>
      <c r="F35" s="73"/>
      <c r="G35" s="73"/>
      <c r="H35" s="73"/>
      <c r="I35" s="73"/>
      <c r="J35" s="73"/>
      <c r="K35" s="73"/>
      <c r="L35" s="73"/>
      <c r="M35" s="73"/>
    </row>
    <row r="36" spans="1:13" ht="41.4" x14ac:dyDescent="0.25">
      <c r="A36" s="134" t="s">
        <v>187</v>
      </c>
      <c r="B36" s="135">
        <v>168315</v>
      </c>
      <c r="C36" s="135">
        <v>168315</v>
      </c>
      <c r="D36" s="136">
        <f>SUM(B36:C36)</f>
        <v>336630</v>
      </c>
      <c r="E36" s="73"/>
      <c r="F36" s="73"/>
      <c r="G36" s="73"/>
      <c r="H36" s="73"/>
      <c r="I36" s="73"/>
      <c r="J36" s="73"/>
      <c r="K36" s="73"/>
      <c r="L36" s="73"/>
      <c r="M36" s="73"/>
    </row>
    <row r="37" spans="1:13" x14ac:dyDescent="0.25">
      <c r="A37" s="134" t="s">
        <v>188</v>
      </c>
      <c r="B37" s="135">
        <v>0</v>
      </c>
      <c r="C37" s="149"/>
      <c r="D37" s="136">
        <f>SUM(B37:C37)</f>
        <v>0</v>
      </c>
    </row>
    <row r="38" spans="1:13" x14ac:dyDescent="0.25">
      <c r="A38" s="144" t="s">
        <v>189</v>
      </c>
      <c r="B38" s="140">
        <f>SUM(B35:B37)</f>
        <v>168315</v>
      </c>
      <c r="C38" s="140">
        <f>SUM(C35:C36)</f>
        <v>168315</v>
      </c>
      <c r="D38" s="136">
        <f>SUM(B38:C38)</f>
        <v>336630</v>
      </c>
    </row>
    <row r="39" spans="1:13" x14ac:dyDescent="0.25">
      <c r="A39" s="145"/>
      <c r="B39" s="132"/>
      <c r="C39" s="132"/>
      <c r="D39" s="133"/>
    </row>
    <row r="40" spans="1:13" ht="14.4" thickBot="1" x14ac:dyDescent="0.3">
      <c r="A40" s="150" t="s">
        <v>190</v>
      </c>
      <c r="B40" s="151">
        <f>SUM(B32+B38)</f>
        <v>2040129.5</v>
      </c>
      <c r="C40" s="151">
        <f>SUM(C32+C38)</f>
        <v>4082986.5</v>
      </c>
      <c r="D40" s="152">
        <f>SUM(B40:C40)</f>
        <v>6123116</v>
      </c>
    </row>
  </sheetData>
  <sheetProtection algorithmName="SHA-512" hashValue="wwb1frrg+6CPhII7AYD+LDFf+60hKMbBbyICzjz4VeHA9DCjwzK2/spdvixif+qDb5oHBDcm3ivyrCGtZrKEaw==" saltValue="r0QEBsaXpFjIXEIQ8nVkaw==" spinCount="100000" sheet="1" objects="1" scenarios="1"/>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A2" sqref="A2"/>
    </sheetView>
  </sheetViews>
  <sheetFormatPr defaultRowHeight="14.4" x14ac:dyDescent="0.3"/>
  <cols>
    <col min="1" max="1" width="12.5546875" customWidth="1"/>
    <col min="2" max="2" width="42.44140625" customWidth="1"/>
    <col min="3" max="6" width="20.5546875" customWidth="1"/>
    <col min="9" max="9" width="14.44140625" bestFit="1" customWidth="1"/>
    <col min="14" max="14" width="98.44140625" customWidth="1"/>
    <col min="15" max="15" width="19.109375" customWidth="1"/>
    <col min="16" max="16" width="4.88671875" customWidth="1"/>
    <col min="17" max="17" width="14.88671875" customWidth="1"/>
  </cols>
  <sheetData>
    <row r="1" spans="1:17" ht="55.8" x14ac:dyDescent="0.3">
      <c r="A1" s="38" t="s">
        <v>0</v>
      </c>
      <c r="B1" s="39" t="str">
        <f>'A-Contracts-Partnerships Matrix'!B1</f>
        <v>MICHIGAN</v>
      </c>
      <c r="D1" s="39"/>
      <c r="E1" s="40" t="s">
        <v>2</v>
      </c>
      <c r="F1" s="56" t="str">
        <f>'A-Contracts-Partnerships Matrix'!J1</f>
        <v>FY2025</v>
      </c>
      <c r="N1" s="339"/>
      <c r="O1" s="339"/>
    </row>
    <row r="2" spans="1:17" ht="15.6" x14ac:dyDescent="0.3">
      <c r="A2" s="357" t="s">
        <v>191</v>
      </c>
      <c r="B2" s="315"/>
      <c r="C2" s="315"/>
      <c r="D2" s="315"/>
      <c r="E2" s="315"/>
      <c r="F2" s="320"/>
      <c r="N2" s="339"/>
      <c r="O2" s="339"/>
    </row>
    <row r="3" spans="1:17" ht="15.6" customHeight="1" thickBot="1" x14ac:dyDescent="0.35">
      <c r="A3" s="369" t="s">
        <v>192</v>
      </c>
      <c r="B3" s="370"/>
      <c r="C3" s="370"/>
      <c r="D3" s="370"/>
      <c r="E3" s="370"/>
      <c r="F3" s="371"/>
      <c r="N3" s="338"/>
      <c r="O3" s="338"/>
    </row>
    <row r="4" spans="1:17" ht="62.4" x14ac:dyDescent="0.3">
      <c r="A4" s="27" t="s">
        <v>193</v>
      </c>
      <c r="B4" s="28" t="s">
        <v>194</v>
      </c>
      <c r="C4" s="26" t="s">
        <v>195</v>
      </c>
      <c r="D4" s="29" t="s">
        <v>196</v>
      </c>
      <c r="E4" s="29" t="s">
        <v>197</v>
      </c>
      <c r="F4" s="30" t="s">
        <v>198</v>
      </c>
      <c r="N4" s="265"/>
      <c r="O4" s="287"/>
    </row>
    <row r="5" spans="1:17" ht="15.6" x14ac:dyDescent="0.3">
      <c r="A5" s="22" t="s">
        <v>199</v>
      </c>
      <c r="B5" s="12" t="s">
        <v>200</v>
      </c>
      <c r="C5" s="17">
        <f>VLOOKUP(B1,'FY25 Final Allocations 5-10-24'!1:1048576,2,FALSE)</f>
        <v>2042857</v>
      </c>
      <c r="D5" s="17">
        <f>IF(lookups!O5&gt;C5,C5,lookups!O5)</f>
        <v>2042857</v>
      </c>
      <c r="E5" s="17">
        <f>SUM(D5-C5)</f>
        <v>0</v>
      </c>
      <c r="F5" s="20">
        <f>SUM(D5/C5)</f>
        <v>1</v>
      </c>
      <c r="I5" s="25"/>
      <c r="O5" s="288"/>
    </row>
    <row r="6" spans="1:17" ht="15.6" x14ac:dyDescent="0.3">
      <c r="A6" s="22" t="s">
        <v>199</v>
      </c>
      <c r="B6" s="23" t="s">
        <v>201</v>
      </c>
      <c r="C6" s="31"/>
      <c r="D6" s="53">
        <f>IF(lookups!O5-D5&gt;C6,C6,lookups!O5-D5)</f>
        <v>0</v>
      </c>
      <c r="E6" s="17">
        <f t="shared" ref="E6:E7" si="0">SUM(D6-C6)</f>
        <v>0</v>
      </c>
      <c r="F6" s="11"/>
      <c r="O6" s="289"/>
    </row>
    <row r="7" spans="1:17" ht="15.6" x14ac:dyDescent="0.3">
      <c r="A7" s="22" t="s">
        <v>199</v>
      </c>
      <c r="B7" s="12" t="s">
        <v>202</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199</v>
      </c>
      <c r="B9" s="12" t="s">
        <v>203</v>
      </c>
      <c r="C9" s="17">
        <f>SUM(C5:C7)</f>
        <v>2042857</v>
      </c>
      <c r="D9" s="17">
        <f>SUM(D5:D7)</f>
        <v>2042857</v>
      </c>
      <c r="E9" s="17">
        <f>SUM(lookups!O5-C9)</f>
        <v>0</v>
      </c>
      <c r="F9" s="20"/>
      <c r="I9" s="25"/>
      <c r="N9" s="250"/>
    </row>
    <row r="10" spans="1:17" ht="15.6" x14ac:dyDescent="0.3">
      <c r="A10" s="22" t="s">
        <v>199</v>
      </c>
      <c r="B10" s="12" t="s">
        <v>204</v>
      </c>
      <c r="C10" s="2"/>
      <c r="D10" s="32">
        <f>SUM(lookups!O11)</f>
        <v>1871814.5</v>
      </c>
      <c r="E10" s="4"/>
      <c r="F10" s="7"/>
      <c r="I10" s="25"/>
      <c r="O10" s="288"/>
    </row>
    <row r="11" spans="1:17" ht="15.6" x14ac:dyDescent="0.3">
      <c r="A11" s="22" t="s">
        <v>205</v>
      </c>
      <c r="B11" s="12" t="s">
        <v>204</v>
      </c>
      <c r="C11" s="2"/>
      <c r="D11" s="17">
        <f>SUM(lookups!O18)</f>
        <v>1871814.5</v>
      </c>
      <c r="E11" s="4"/>
      <c r="F11" s="7"/>
      <c r="O11" s="289"/>
    </row>
    <row r="12" spans="1:17" ht="15.6" x14ac:dyDescent="0.3">
      <c r="A12" s="22" t="s">
        <v>199</v>
      </c>
      <c r="B12" s="12" t="s">
        <v>206</v>
      </c>
      <c r="C12" s="2"/>
      <c r="D12" s="32">
        <f>SUM('B - Operating Budget'!C38)</f>
        <v>168315</v>
      </c>
      <c r="E12" s="4"/>
      <c r="F12" s="7"/>
      <c r="O12" s="288"/>
      <c r="Q12" s="25"/>
    </row>
    <row r="13" spans="1:17" ht="15.6" x14ac:dyDescent="0.3">
      <c r="A13" s="22" t="s">
        <v>205</v>
      </c>
      <c r="B13" s="12" t="s">
        <v>206</v>
      </c>
      <c r="C13" s="2"/>
      <c r="D13" s="17">
        <f>SUM('B - Operating Budget'!B38)</f>
        <v>168315</v>
      </c>
      <c r="E13" s="4"/>
      <c r="F13" s="7"/>
      <c r="I13" s="25"/>
      <c r="O13" s="288"/>
    </row>
    <row r="14" spans="1:17" ht="15.6" x14ac:dyDescent="0.3">
      <c r="A14" s="22" t="s">
        <v>199</v>
      </c>
      <c r="B14" s="12" t="s">
        <v>207</v>
      </c>
      <c r="C14" s="17">
        <f>VLOOKUP(B1,'FY25 Final Allocations 5-10-24'!1:1048576,3,FALSE)</f>
        <v>1049618</v>
      </c>
      <c r="D14" s="17">
        <f>SUM(D10+D12)</f>
        <v>2040129.5</v>
      </c>
      <c r="E14" s="17">
        <f>SUM(D14-C14)</f>
        <v>990511.5</v>
      </c>
      <c r="F14" s="11"/>
      <c r="O14" s="289"/>
    </row>
    <row r="15" spans="1:17" ht="15.6" x14ac:dyDescent="0.3">
      <c r="A15" s="22" t="s">
        <v>208</v>
      </c>
      <c r="B15" s="13"/>
      <c r="C15" s="1"/>
      <c r="D15" s="1"/>
      <c r="E15" s="1"/>
      <c r="F15" s="3"/>
    </row>
    <row r="16" spans="1:17" ht="16.2" thickBot="1" x14ac:dyDescent="0.35">
      <c r="A16" s="41"/>
      <c r="B16" s="14" t="s">
        <v>157</v>
      </c>
      <c r="C16" s="19">
        <f>SUM(C9+C14)</f>
        <v>3092475</v>
      </c>
      <c r="D16" s="19">
        <f>SUM(D9:D13)</f>
        <v>6123116</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35" t="s">
        <v>209</v>
      </c>
      <c r="C20" s="336"/>
      <c r="D20" s="336"/>
      <c r="E20" s="337"/>
      <c r="F20" s="33"/>
      <c r="O20" s="288"/>
    </row>
    <row r="21" spans="1:15" x14ac:dyDescent="0.3">
      <c r="A21" s="24"/>
      <c r="B21" s="42"/>
      <c r="C21" s="24"/>
      <c r="D21" s="24"/>
      <c r="E21" s="43"/>
      <c r="F21" s="24"/>
      <c r="O21" s="289"/>
    </row>
    <row r="22" spans="1:15" ht="22.35" customHeight="1" x14ac:dyDescent="0.3">
      <c r="A22" s="24"/>
      <c r="B22" s="36" t="s">
        <v>194</v>
      </c>
      <c r="C22" s="15" t="s">
        <v>161</v>
      </c>
      <c r="D22" s="15" t="s">
        <v>162</v>
      </c>
      <c r="E22" s="37" t="s">
        <v>157</v>
      </c>
      <c r="F22" s="309"/>
      <c r="O22" s="289"/>
    </row>
    <row r="23" spans="1:15" ht="15.6" x14ac:dyDescent="0.3">
      <c r="A23" s="24"/>
      <c r="B23" s="5" t="s">
        <v>200</v>
      </c>
      <c r="C23" s="4"/>
      <c r="D23" s="17">
        <f>SUM(D5+D6)</f>
        <v>2042857</v>
      </c>
      <c r="E23" s="18">
        <f t="shared" ref="E23:E30" si="1">SUM(C23:D23)</f>
        <v>2042857</v>
      </c>
      <c r="F23" s="34"/>
    </row>
    <row r="24" spans="1:15" ht="15.6" x14ac:dyDescent="0.3">
      <c r="A24" s="24"/>
      <c r="B24" s="5" t="s">
        <v>202</v>
      </c>
      <c r="C24" s="4"/>
      <c r="D24" s="17">
        <f>SUM(D7)</f>
        <v>0</v>
      </c>
      <c r="E24" s="18">
        <f t="shared" si="1"/>
        <v>0</v>
      </c>
      <c r="F24" s="34"/>
      <c r="N24" s="334"/>
      <c r="O24" s="334"/>
    </row>
    <row r="25" spans="1:15" ht="15.75" customHeight="1" x14ac:dyDescent="0.3">
      <c r="A25" s="24"/>
      <c r="B25" s="5"/>
      <c r="C25" s="4"/>
      <c r="D25" s="290"/>
      <c r="E25" s="291"/>
      <c r="F25" s="34"/>
      <c r="N25" s="334"/>
      <c r="O25" s="334"/>
    </row>
    <row r="26" spans="1:15" ht="16.2" thickBot="1" x14ac:dyDescent="0.35">
      <c r="A26" s="24"/>
      <c r="B26" s="5" t="s">
        <v>204</v>
      </c>
      <c r="C26" s="19">
        <f>SUM(D11)</f>
        <v>1871814.5</v>
      </c>
      <c r="D26" s="19">
        <f>SUM(D10)</f>
        <v>1871814.5</v>
      </c>
      <c r="E26" s="21">
        <f t="shared" si="1"/>
        <v>3743629</v>
      </c>
      <c r="F26" s="35"/>
      <c r="N26" s="334"/>
      <c r="O26" s="334"/>
    </row>
    <row r="27" spans="1:15" ht="15.6" x14ac:dyDescent="0.3">
      <c r="A27" s="24"/>
      <c r="B27" s="5" t="s">
        <v>210</v>
      </c>
      <c r="C27" s="281">
        <f>SUM('B - Operating Budget'!B35)</f>
        <v>0</v>
      </c>
      <c r="D27" s="281">
        <f>SUM('B - Operating Budget'!C35)</f>
        <v>0</v>
      </c>
      <c r="E27" s="282"/>
      <c r="F27" s="35"/>
      <c r="N27" s="334"/>
      <c r="O27" s="334"/>
    </row>
    <row r="28" spans="1:15" ht="16.2" thickBot="1" x14ac:dyDescent="0.35">
      <c r="A28" s="24"/>
      <c r="B28" s="5" t="s">
        <v>211</v>
      </c>
      <c r="C28" s="19">
        <f>SUM('B - Operating Budget'!B36)</f>
        <v>168315</v>
      </c>
      <c r="D28" s="19">
        <f>SUM('B - Operating Budget'!C36)</f>
        <v>168315</v>
      </c>
      <c r="E28" s="21"/>
      <c r="F28" s="35"/>
      <c r="N28" s="334"/>
      <c r="O28" s="334"/>
    </row>
    <row r="29" spans="1:15" ht="15.6" x14ac:dyDescent="0.3">
      <c r="A29" s="24"/>
      <c r="B29" s="5" t="s">
        <v>212</v>
      </c>
      <c r="C29" s="281">
        <f>SUM(D13)</f>
        <v>168315</v>
      </c>
      <c r="D29" s="281">
        <f>SUM(D12)</f>
        <v>168315</v>
      </c>
      <c r="E29" s="282">
        <f t="shared" si="1"/>
        <v>336630</v>
      </c>
      <c r="F29" s="35"/>
      <c r="N29" s="334"/>
      <c r="O29" s="334"/>
    </row>
    <row r="30" spans="1:15" ht="16.2" thickBot="1" x14ac:dyDescent="0.35">
      <c r="A30" s="24"/>
      <c r="B30" s="5" t="s">
        <v>213</v>
      </c>
      <c r="C30" s="285">
        <f>SUM(C26+C29)</f>
        <v>2040129.5</v>
      </c>
      <c r="D30" s="285">
        <f>SUM(D26+D29)</f>
        <v>2040129.5</v>
      </c>
      <c r="E30" s="286">
        <f t="shared" si="1"/>
        <v>4080259</v>
      </c>
      <c r="F30" s="34"/>
      <c r="N30" s="334"/>
      <c r="O30" s="334"/>
    </row>
    <row r="31" spans="1:15" ht="16.2" thickTop="1" x14ac:dyDescent="0.3">
      <c r="A31" s="24"/>
      <c r="B31" s="5"/>
      <c r="C31" s="283"/>
      <c r="D31" s="283"/>
      <c r="E31" s="284"/>
      <c r="F31" s="35"/>
      <c r="N31" s="334"/>
      <c r="O31" s="334"/>
    </row>
    <row r="32" spans="1:15" ht="16.2" thickBot="1" x14ac:dyDescent="0.35">
      <c r="A32" s="24"/>
      <c r="B32" s="6" t="s">
        <v>157</v>
      </c>
      <c r="C32" s="19">
        <f>SUM(C30)</f>
        <v>2040129.5</v>
      </c>
      <c r="D32" s="19">
        <f>SUM(D23:D25)+D30</f>
        <v>4082986.5</v>
      </c>
      <c r="E32" s="21">
        <f>SUM(C32+D32)</f>
        <v>6123116</v>
      </c>
      <c r="F32" s="35"/>
      <c r="N32" s="334"/>
      <c r="O32" s="334"/>
    </row>
    <row r="33" spans="14:15" x14ac:dyDescent="0.3">
      <c r="N33" s="334"/>
      <c r="O33" s="334"/>
    </row>
    <row r="34" spans="14:15" x14ac:dyDescent="0.3">
      <c r="N34" s="334"/>
      <c r="O34" s="334"/>
    </row>
    <row r="42" spans="14:15" x14ac:dyDescent="0.3">
      <c r="N42" s="25"/>
    </row>
  </sheetData>
  <sheetProtection algorithmName="SHA-512" hashValue="rIMwlEa3m21NO+oE1d2vOykYWGWnachuDKioUMWK71L/BhxpoZY5iXiqn4a8nOPzNJCNO/5Jqm2WiFedLgek6g==" saltValue="H20EBJqA4dtjmQ3SqPJH2Q==" spinCount="100000" sheet="1" objects="1" scenarios="1"/>
  <mergeCells count="4">
    <mergeCell ref="N24:O34"/>
    <mergeCell ref="B20:E20"/>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A4" sqref="A4:G4"/>
    </sheetView>
  </sheetViews>
  <sheetFormatPr defaultColWidth="8.5546875" defaultRowHeight="13.8" x14ac:dyDescent="0.25"/>
  <cols>
    <col min="1" max="1" width="28.44140625" style="24" customWidth="1"/>
    <col min="2" max="2" width="14.44140625" style="107" customWidth="1"/>
    <col min="3" max="3" width="23.5546875" style="24" customWidth="1"/>
    <col min="4" max="7" width="16.88671875" style="24" customWidth="1"/>
    <col min="8" max="16384" width="8.5546875" style="24"/>
  </cols>
  <sheetData>
    <row r="1" spans="1:16" ht="27.6" x14ac:dyDescent="0.25">
      <c r="A1" s="44" t="s">
        <v>0</v>
      </c>
      <c r="B1" s="312" t="str">
        <f>'A-Contracts-Partnerships Matrix'!B1</f>
        <v>MICHIGAN</v>
      </c>
      <c r="C1" s="39"/>
      <c r="D1" s="39"/>
      <c r="E1" s="39"/>
      <c r="F1" s="40" t="s">
        <v>2</v>
      </c>
      <c r="G1" s="56" t="str">
        <f>'A-Contracts-Partnerships Matrix'!J1</f>
        <v>FY2025</v>
      </c>
    </row>
    <row r="2" spans="1:16" ht="16.2" thickBot="1" x14ac:dyDescent="0.35">
      <c r="A2" s="314" t="s">
        <v>214</v>
      </c>
      <c r="B2" s="315"/>
      <c r="C2" s="315"/>
      <c r="D2" s="315"/>
      <c r="E2" s="315"/>
      <c r="F2" s="315"/>
      <c r="G2" s="320"/>
    </row>
    <row r="3" spans="1:16" ht="13.8" customHeight="1" x14ac:dyDescent="0.25">
      <c r="A3" s="354" t="s">
        <v>215</v>
      </c>
      <c r="B3" s="355"/>
      <c r="C3" s="355"/>
      <c r="D3" s="355"/>
      <c r="E3" s="355"/>
      <c r="F3" s="355"/>
      <c r="G3" s="356"/>
    </row>
    <row r="4" spans="1:16" ht="19.2" customHeight="1" x14ac:dyDescent="0.3">
      <c r="A4" s="366" t="s">
        <v>216</v>
      </c>
      <c r="B4" s="367"/>
      <c r="C4" s="367"/>
      <c r="D4" s="367"/>
      <c r="E4" s="367"/>
      <c r="F4" s="367"/>
      <c r="G4" s="368"/>
    </row>
    <row r="5" spans="1:16" ht="18" customHeight="1" thickBot="1" x14ac:dyDescent="0.35">
      <c r="A5" s="303"/>
      <c r="B5" s="304"/>
      <c r="C5" s="304"/>
      <c r="D5" s="304"/>
      <c r="E5" s="304"/>
      <c r="F5" s="304"/>
      <c r="G5" s="305"/>
    </row>
    <row r="6" spans="1:16" ht="18" customHeight="1" thickBot="1" x14ac:dyDescent="0.35">
      <c r="A6" s="248" t="s">
        <v>56</v>
      </c>
      <c r="B6" s="157">
        <f>COUNT(B9:B107)+COUNTIF(B9:B107,"X")</f>
        <v>0</v>
      </c>
      <c r="C6" s="186"/>
      <c r="D6" s="249">
        <f t="shared" ref="D6:F6" si="0">SUM(D9:D107)</f>
        <v>0</v>
      </c>
      <c r="E6" s="249">
        <f t="shared" si="0"/>
        <v>0</v>
      </c>
      <c r="F6" s="249">
        <f t="shared" si="0"/>
        <v>0</v>
      </c>
      <c r="G6" s="249">
        <f>SUM(G9:G107)</f>
        <v>0</v>
      </c>
    </row>
    <row r="7" spans="1:16" ht="18" customHeight="1" x14ac:dyDescent="0.3">
      <c r="A7" s="303"/>
      <c r="B7" s="304"/>
      <c r="C7" s="304"/>
      <c r="D7" s="304"/>
      <c r="E7" s="304"/>
      <c r="F7" s="304"/>
      <c r="G7" s="305"/>
    </row>
    <row r="8" spans="1:16" ht="55.2" x14ac:dyDescent="0.25">
      <c r="A8" s="153" t="s">
        <v>217</v>
      </c>
      <c r="B8" s="154" t="s">
        <v>218</v>
      </c>
      <c r="C8" s="154" t="s">
        <v>219</v>
      </c>
      <c r="D8" s="154" t="s">
        <v>220</v>
      </c>
      <c r="E8" s="154" t="s">
        <v>221</v>
      </c>
      <c r="F8" s="154" t="s">
        <v>222</v>
      </c>
      <c r="G8" s="155" t="s">
        <v>223</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56</v>
      </c>
      <c r="B117" s="157">
        <f>COUNT(B9:B107)+COUNTIF(B9:B107,"X")</f>
        <v>0</v>
      </c>
      <c r="C117" s="158"/>
      <c r="D117" s="159">
        <f>SUM(D9:D107)</f>
        <v>0</v>
      </c>
      <c r="E117" s="159">
        <f>SUM(E9:E107)</f>
        <v>0</v>
      </c>
      <c r="F117" s="159">
        <f>SUM(F9:F107)</f>
        <v>0</v>
      </c>
      <c r="G117" s="159">
        <f>SUM(G9:G107)</f>
        <v>0</v>
      </c>
    </row>
  </sheetData>
  <sheetProtection algorithmName="SHA-512" hashValue="Oa9SUT95KMNH0JgmVlbnvYiZfXzIVsPSRJWyQ4QXu9expdtCRwpfGCu2cmqlQvLn1q9ZM5nl+rpQDMLIuE2Jbw==" saltValue="lcfYbxZ19ceYBlJ2gSX3Wg==" spinCount="100000" sheet="1" objects="1" scenarios="1"/>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A3" sqref="A3:Z3"/>
    </sheetView>
  </sheetViews>
  <sheetFormatPr defaultColWidth="8.5546875" defaultRowHeight="13.8" x14ac:dyDescent="0.25"/>
  <cols>
    <col min="1" max="1" width="25.5546875" style="24" customWidth="1"/>
    <col min="2" max="2" width="9.44140625" style="24" customWidth="1"/>
    <col min="3" max="14" width="7.5546875" style="24" customWidth="1"/>
    <col min="15" max="15" width="8.5546875" style="24" customWidth="1"/>
    <col min="16" max="16" width="9.109375" style="24" customWidth="1"/>
    <col min="17" max="17" width="9.44140625" style="24" customWidth="1"/>
    <col min="18" max="25" width="8.5546875" style="24" customWidth="1"/>
    <col min="26" max="26" width="12.44140625" style="24" customWidth="1"/>
    <col min="27" max="16384" width="8.5546875" style="24"/>
  </cols>
  <sheetData>
    <row r="1" spans="1:26" ht="27.6" x14ac:dyDescent="0.25">
      <c r="A1" s="44" t="s">
        <v>0</v>
      </c>
      <c r="B1" s="340" t="str">
        <f>'A-Contracts-Partnerships Matrix'!B1</f>
        <v>MICHIGAN</v>
      </c>
      <c r="C1" s="340"/>
      <c r="D1" s="39"/>
      <c r="E1" s="39"/>
      <c r="F1" s="39"/>
      <c r="G1" s="39"/>
      <c r="H1" s="39"/>
      <c r="I1" s="39"/>
      <c r="J1" s="39"/>
      <c r="K1" s="39"/>
      <c r="L1" s="39"/>
      <c r="M1" s="39"/>
      <c r="N1" s="39"/>
      <c r="O1" s="39"/>
      <c r="P1" s="39"/>
      <c r="Q1" s="39"/>
      <c r="R1" s="39"/>
      <c r="S1" s="39"/>
      <c r="T1" s="39"/>
      <c r="U1" s="39"/>
      <c r="V1" s="39"/>
      <c r="W1" s="39"/>
      <c r="X1" s="341" t="s">
        <v>2</v>
      </c>
      <c r="Y1" s="341"/>
      <c r="Z1" s="56" t="str">
        <f>'A-Contracts-Partnerships Matrix'!J1</f>
        <v>FY2025</v>
      </c>
    </row>
    <row r="2" spans="1:26" ht="15.6" x14ac:dyDescent="0.3">
      <c r="A2" s="357" t="s">
        <v>224</v>
      </c>
      <c r="B2" s="358"/>
      <c r="C2" s="358"/>
      <c r="D2" s="358"/>
      <c r="E2" s="358"/>
      <c r="F2" s="358"/>
      <c r="G2" s="358"/>
      <c r="H2" s="358"/>
      <c r="I2" s="358"/>
      <c r="J2" s="358"/>
      <c r="K2" s="358"/>
      <c r="L2" s="358"/>
      <c r="M2" s="358"/>
      <c r="N2" s="358"/>
      <c r="O2" s="358"/>
      <c r="P2" s="358"/>
      <c r="Q2" s="358"/>
      <c r="R2" s="358"/>
      <c r="S2" s="358"/>
      <c r="T2" s="358"/>
      <c r="U2" s="358"/>
      <c r="V2" s="358"/>
      <c r="W2" s="358"/>
      <c r="X2" s="358"/>
      <c r="Y2" s="358"/>
      <c r="Z2" s="359"/>
    </row>
    <row r="3" spans="1:26" ht="18" customHeight="1" x14ac:dyDescent="0.3">
      <c r="A3" s="361" t="s">
        <v>225</v>
      </c>
      <c r="B3" s="364"/>
      <c r="C3" s="364"/>
      <c r="D3" s="364"/>
      <c r="E3" s="364"/>
      <c r="F3" s="364"/>
      <c r="G3" s="364"/>
      <c r="H3" s="364"/>
      <c r="I3" s="364"/>
      <c r="J3" s="364"/>
      <c r="K3" s="364"/>
      <c r="L3" s="364"/>
      <c r="M3" s="364"/>
      <c r="N3" s="364"/>
      <c r="O3" s="364"/>
      <c r="P3" s="364"/>
      <c r="Q3" s="364"/>
      <c r="R3" s="364"/>
      <c r="S3" s="364"/>
      <c r="T3" s="364"/>
      <c r="U3" s="364"/>
      <c r="V3" s="364"/>
      <c r="W3" s="364"/>
      <c r="X3" s="364"/>
      <c r="Y3" s="364"/>
      <c r="Z3" s="365"/>
    </row>
    <row r="4" spans="1:26" ht="18" customHeight="1" x14ac:dyDescent="0.3">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 customHeight="1" x14ac:dyDescent="0.3">
      <c r="A5" s="194" t="s">
        <v>226</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9.1" customHeight="1" x14ac:dyDescent="0.25">
      <c r="A7" s="160"/>
      <c r="B7" s="342" t="s">
        <v>227</v>
      </c>
      <c r="C7" s="342"/>
      <c r="D7" s="342"/>
      <c r="E7" s="342"/>
      <c r="F7" s="342"/>
      <c r="G7" s="342"/>
      <c r="H7" s="342"/>
      <c r="I7" s="342"/>
      <c r="J7" s="342"/>
      <c r="K7" s="342"/>
      <c r="L7" s="342"/>
      <c r="M7" s="342"/>
      <c r="N7" s="342"/>
      <c r="O7" s="342"/>
      <c r="P7" s="342"/>
      <c r="Q7" s="342"/>
      <c r="R7" s="342"/>
      <c r="S7" s="342"/>
      <c r="T7" s="342"/>
      <c r="U7" s="342"/>
      <c r="V7" s="342"/>
      <c r="W7" s="342"/>
      <c r="X7" s="342"/>
      <c r="Y7" s="342"/>
      <c r="Z7" s="154" t="s">
        <v>228</v>
      </c>
    </row>
    <row r="8" spans="1:26" ht="27.6" x14ac:dyDescent="0.25">
      <c r="A8" s="161" t="s">
        <v>217</v>
      </c>
      <c r="B8" s="129" t="s">
        <v>229</v>
      </c>
      <c r="C8" s="129" t="s">
        <v>230</v>
      </c>
      <c r="D8" s="129" t="s">
        <v>231</v>
      </c>
      <c r="E8" s="129" t="s">
        <v>232</v>
      </c>
      <c r="F8" s="129" t="s">
        <v>233</v>
      </c>
      <c r="G8" s="129" t="s">
        <v>234</v>
      </c>
      <c r="H8" s="129" t="s">
        <v>235</v>
      </c>
      <c r="I8" s="129" t="s">
        <v>236</v>
      </c>
      <c r="J8" s="129" t="s">
        <v>237</v>
      </c>
      <c r="K8" s="129" t="s">
        <v>238</v>
      </c>
      <c r="L8" s="129" t="s">
        <v>239</v>
      </c>
      <c r="M8" s="129" t="s">
        <v>240</v>
      </c>
      <c r="N8" s="129" t="s">
        <v>241</v>
      </c>
      <c r="O8" s="162" t="s">
        <v>242</v>
      </c>
      <c r="P8" s="162" t="s">
        <v>243</v>
      </c>
      <c r="Q8" s="162" t="s">
        <v>244</v>
      </c>
      <c r="R8" s="162" t="s">
        <v>245</v>
      </c>
      <c r="S8" s="162" t="s">
        <v>246</v>
      </c>
      <c r="T8" s="162" t="s">
        <v>247</v>
      </c>
      <c r="U8" s="162" t="s">
        <v>248</v>
      </c>
      <c r="V8" s="162" t="s">
        <v>249</v>
      </c>
      <c r="W8" s="162" t="s">
        <v>250</v>
      </c>
      <c r="X8" s="163" t="s">
        <v>251</v>
      </c>
      <c r="Y8" s="163" t="s">
        <v>252</v>
      </c>
      <c r="Z8" s="164" t="s">
        <v>253</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254</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Gop5GcvXpDCWynY5YoP+hAMnfEYv93iE9/Xim6cQycmWtkoa0Te4XlPfoCUE7jId2dsq9YfrzfNdKBcuNo4VAw==" saltValue="raBiJuJwurgiRj1tZbEJkA==" spinCount="100000" sheet="1" objects="1" scenarios="1"/>
  <mergeCells count="3">
    <mergeCell ref="B1:C1"/>
    <mergeCell ref="X1:Y1"/>
    <mergeCell ref="B7:Y7"/>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A3" sqref="A3:E3"/>
    </sheetView>
  </sheetViews>
  <sheetFormatPr defaultColWidth="9.109375" defaultRowHeight="13.8" x14ac:dyDescent="0.25"/>
  <cols>
    <col min="1" max="1" width="34.109375" style="73" customWidth="1"/>
    <col min="2" max="2" width="37.5546875" style="73" customWidth="1"/>
    <col min="3" max="3" width="15.5546875" style="73" customWidth="1"/>
    <col min="4" max="4" width="21.44140625" style="73" customWidth="1"/>
    <col min="5" max="5" width="19.44140625" style="24" customWidth="1"/>
    <col min="6" max="16384" width="9.109375" style="24"/>
  </cols>
  <sheetData>
    <row r="1" spans="1:5" ht="27.6" x14ac:dyDescent="0.25">
      <c r="A1" s="44" t="s">
        <v>0</v>
      </c>
      <c r="B1" s="39" t="str">
        <f>'A-Contracts-Partnerships Matrix'!B1</f>
        <v>MICHIGAN</v>
      </c>
      <c r="C1" s="40" t="s">
        <v>2</v>
      </c>
      <c r="D1" s="40"/>
      <c r="E1" s="56" t="str">
        <f>'A-Contracts-Partnerships Matrix'!J1</f>
        <v>FY2025</v>
      </c>
    </row>
    <row r="2" spans="1:5" ht="15.6" x14ac:dyDescent="0.3">
      <c r="A2" s="318" t="s">
        <v>255</v>
      </c>
      <c r="B2" s="309"/>
      <c r="C2" s="309"/>
      <c r="D2" s="309"/>
      <c r="E2" s="319"/>
    </row>
    <row r="3" spans="1:5" ht="18.600000000000001" customHeight="1" x14ac:dyDescent="0.3">
      <c r="A3" s="361" t="s">
        <v>256</v>
      </c>
      <c r="B3" s="362"/>
      <c r="C3" s="362"/>
      <c r="D3" s="362"/>
      <c r="E3" s="363"/>
    </row>
    <row r="4" spans="1:5" ht="14.4" x14ac:dyDescent="0.3">
      <c r="A4" s="69"/>
      <c r="B4" s="70" t="s">
        <v>257</v>
      </c>
      <c r="C4" s="270" t="s">
        <v>258</v>
      </c>
      <c r="D4" s="270" t="s">
        <v>259</v>
      </c>
      <c r="E4" s="71" t="s">
        <v>260</v>
      </c>
    </row>
    <row r="5" spans="1:5" x14ac:dyDescent="0.25">
      <c r="A5" s="321" t="s">
        <v>261</v>
      </c>
      <c r="B5" s="322"/>
      <c r="C5" s="322"/>
      <c r="D5" s="322"/>
      <c r="E5" s="323"/>
    </row>
    <row r="6" spans="1:5" ht="82.8" x14ac:dyDescent="0.25">
      <c r="A6" s="72" t="s">
        <v>262</v>
      </c>
      <c r="B6" s="73" t="s">
        <v>263</v>
      </c>
      <c r="C6" s="267">
        <v>100000</v>
      </c>
      <c r="D6" s="267"/>
      <c r="E6" s="272">
        <v>133445</v>
      </c>
    </row>
    <row r="7" spans="1:5" s="79" customFormat="1" ht="151.80000000000001" x14ac:dyDescent="0.25">
      <c r="A7" s="72" t="s">
        <v>264</v>
      </c>
      <c r="B7" s="73" t="s">
        <v>265</v>
      </c>
      <c r="C7" s="268" t="s">
        <v>266</v>
      </c>
      <c r="D7" s="279" t="s">
        <v>267</v>
      </c>
      <c r="E7" s="272">
        <v>133445</v>
      </c>
    </row>
    <row r="8" spans="1:5" s="79" customFormat="1" ht="27.6" x14ac:dyDescent="0.25">
      <c r="A8" s="72"/>
      <c r="B8" s="73"/>
      <c r="C8" s="268" t="s">
        <v>268</v>
      </c>
      <c r="D8" s="279"/>
      <c r="E8" s="272"/>
    </row>
    <row r="9" spans="1:5" s="79" customFormat="1" ht="27.6" x14ac:dyDescent="0.25">
      <c r="A9" s="72"/>
      <c r="B9" s="73"/>
      <c r="C9" s="268" t="s">
        <v>269</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270</v>
      </c>
      <c r="B12" s="73" t="s">
        <v>271</v>
      </c>
      <c r="C12" s="268" t="s">
        <v>272</v>
      </c>
      <c r="D12" s="268"/>
      <c r="E12" s="273">
        <f>SUM(E7:E11)</f>
        <v>133445</v>
      </c>
    </row>
    <row r="13" spans="1:5" ht="27.6" x14ac:dyDescent="0.25">
      <c r="A13" s="72" t="s">
        <v>273</v>
      </c>
      <c r="C13" s="269">
        <v>1</v>
      </c>
      <c r="D13" s="269"/>
      <c r="E13" s="74">
        <f>E12/E6</f>
        <v>1</v>
      </c>
    </row>
    <row r="14" spans="1:5" x14ac:dyDescent="0.25">
      <c r="A14" s="321" t="s">
        <v>274</v>
      </c>
      <c r="B14" s="322"/>
      <c r="C14" s="322"/>
      <c r="D14" s="322"/>
      <c r="E14" s="323"/>
    </row>
    <row r="15" spans="1:5" x14ac:dyDescent="0.25">
      <c r="A15" s="72" t="s">
        <v>275</v>
      </c>
      <c r="C15" s="267">
        <v>6500</v>
      </c>
      <c r="D15" s="267"/>
      <c r="E15" s="272">
        <v>76299</v>
      </c>
    </row>
    <row r="16" spans="1:5" ht="27.6" x14ac:dyDescent="0.25">
      <c r="A16" s="72" t="s">
        <v>276</v>
      </c>
      <c r="C16" s="268">
        <v>0</v>
      </c>
      <c r="D16" s="268"/>
      <c r="E16" s="272">
        <v>36299</v>
      </c>
    </row>
    <row r="17" spans="1:5" ht="41.4" x14ac:dyDescent="0.25">
      <c r="A17" s="72" t="s">
        <v>277</v>
      </c>
      <c r="C17" s="268">
        <v>250</v>
      </c>
      <c r="D17" s="268"/>
      <c r="E17" s="272">
        <v>40000</v>
      </c>
    </row>
    <row r="18" spans="1:5" ht="27.6" x14ac:dyDescent="0.25">
      <c r="A18" s="72" t="s">
        <v>278</v>
      </c>
      <c r="C18" s="267">
        <v>6250</v>
      </c>
      <c r="D18" s="267"/>
      <c r="E18" s="273">
        <f>E15-(E16+E17)</f>
        <v>0</v>
      </c>
    </row>
    <row r="19" spans="1:5" x14ac:dyDescent="0.25">
      <c r="A19" s="321" t="s">
        <v>279</v>
      </c>
      <c r="B19" s="322"/>
      <c r="C19" s="322"/>
      <c r="D19" s="322"/>
      <c r="E19" s="323"/>
    </row>
    <row r="20" spans="1:5" ht="27.6" x14ac:dyDescent="0.25">
      <c r="A20" s="72" t="s">
        <v>280</v>
      </c>
      <c r="C20" s="268">
        <v>0</v>
      </c>
      <c r="D20" s="268"/>
      <c r="E20" s="272"/>
    </row>
    <row r="21" spans="1:5" ht="27.6" x14ac:dyDescent="0.25">
      <c r="A21" s="72" t="s">
        <v>281</v>
      </c>
      <c r="C21" s="267">
        <v>2000</v>
      </c>
      <c r="D21" s="267"/>
      <c r="E21" s="272">
        <v>1146</v>
      </c>
    </row>
    <row r="22" spans="1:5" ht="27.6" x14ac:dyDescent="0.25">
      <c r="A22" s="72" t="s">
        <v>282</v>
      </c>
      <c r="C22" s="267">
        <v>2000</v>
      </c>
      <c r="D22" s="267"/>
      <c r="E22" s="273">
        <f>SUM(E20:E21)</f>
        <v>1146</v>
      </c>
    </row>
    <row r="23" spans="1:5" ht="27.6" x14ac:dyDescent="0.25">
      <c r="A23" s="72" t="s">
        <v>283</v>
      </c>
      <c r="B23" s="73" t="s">
        <v>284</v>
      </c>
      <c r="C23" s="268">
        <v>500</v>
      </c>
      <c r="D23" s="268"/>
      <c r="E23" s="272">
        <v>642</v>
      </c>
    </row>
    <row r="24" spans="1:5" s="84" customFormat="1" x14ac:dyDescent="0.25">
      <c r="A24" s="321" t="s">
        <v>285</v>
      </c>
      <c r="B24" s="322"/>
      <c r="C24" s="322"/>
      <c r="D24" s="322"/>
      <c r="E24" s="323"/>
    </row>
    <row r="25" spans="1:5" ht="27.6" x14ac:dyDescent="0.25">
      <c r="A25" s="72" t="s">
        <v>286</v>
      </c>
      <c r="B25" s="73" t="s">
        <v>287</v>
      </c>
      <c r="C25" s="275">
        <v>2000</v>
      </c>
      <c r="D25" s="268"/>
      <c r="E25" s="272">
        <v>809</v>
      </c>
    </row>
    <row r="26" spans="1:5" ht="28.2" thickBot="1" x14ac:dyDescent="0.3">
      <c r="A26" s="75" t="s">
        <v>288</v>
      </c>
      <c r="B26" s="76"/>
      <c r="C26" s="271">
        <v>1</v>
      </c>
      <c r="D26" s="271"/>
      <c r="E26" s="77">
        <f>E25/E22</f>
        <v>0.70593368237347298</v>
      </c>
    </row>
  </sheetData>
  <sheetProtection algorithmName="SHA-512" hashValue="R4pGYe/NiW9veKN6ZjkLeH5mPQomYJA4aqkR//5AjG5o8AWULhTU2Id1gusX8DXDzoYJbCZ2sx6IWCPHXvzwGA==" saltValue="dFVqIOJPtuYJb9QE4CAEDA==" spinCount="100000" sheet="1" objects="1" scenarios="1"/>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abSelected="1" topLeftCell="A6" zoomScale="98" zoomScaleNormal="98" workbookViewId="0">
      <pane xSplit="1" topLeftCell="B1" activePane="topRight" state="frozen"/>
      <selection pane="topRight" activeCell="A2" sqref="A2"/>
    </sheetView>
  </sheetViews>
  <sheetFormatPr defaultColWidth="8.5546875" defaultRowHeight="13.8" x14ac:dyDescent="0.25"/>
  <cols>
    <col min="1" max="1" width="21.109375" style="73" customWidth="1"/>
    <col min="2" max="10" width="30.5546875" style="73" customWidth="1"/>
    <col min="11" max="12" width="20.5546875" style="73" customWidth="1"/>
    <col min="13" max="18" width="18.5546875" style="73" customWidth="1"/>
    <col min="19" max="19" width="20.88671875" style="73" customWidth="1"/>
    <col min="20" max="20" width="13.109375" style="73" customWidth="1"/>
    <col min="21" max="21" width="11.44140625" style="178" customWidth="1"/>
    <col min="22" max="22" width="12" style="179" customWidth="1"/>
    <col min="23" max="23" width="12.5546875" style="180" customWidth="1"/>
    <col min="24" max="25" width="14.44140625" style="179" customWidth="1"/>
    <col min="26" max="26" width="13.109375" style="178" customWidth="1"/>
    <col min="27" max="27" width="19.5546875" style="178" customWidth="1"/>
    <col min="28" max="28" width="25.109375" style="73" customWidth="1"/>
    <col min="29" max="29" width="15.44140625" style="181" customWidth="1"/>
    <col min="30" max="30" width="19.109375" style="181" customWidth="1"/>
    <col min="31" max="31" width="19.88671875" style="24" customWidth="1"/>
    <col min="32" max="32" width="21.88671875" style="298" customWidth="1"/>
    <col min="33" max="16384" width="8.5546875" style="24"/>
  </cols>
  <sheetData>
    <row r="1" spans="1:32" ht="27.6" x14ac:dyDescent="0.25">
      <c r="A1" s="44" t="s">
        <v>0</v>
      </c>
      <c r="B1" s="39" t="str">
        <f>'A-Contracts-Partnerships Matrix'!B1</f>
        <v>MICHIGAN</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65" customHeight="1" x14ac:dyDescent="0.25">
      <c r="A2" s="360" t="s">
        <v>289</v>
      </c>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200"/>
    </row>
    <row r="3" spans="1:32" ht="19.350000000000001" customHeight="1" x14ac:dyDescent="0.25">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200"/>
    </row>
    <row r="4" spans="1:32" ht="14.4" x14ac:dyDescent="0.3">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290</v>
      </c>
      <c r="T5" s="196">
        <f>SUM(T12:T83)</f>
        <v>174</v>
      </c>
      <c r="U5" s="197"/>
      <c r="V5" s="198"/>
      <c r="W5" s="199"/>
      <c r="X5" s="198"/>
      <c r="Y5" s="197">
        <f>SUM(Y12:Y83)</f>
        <v>658488</v>
      </c>
      <c r="Z5" s="197">
        <f>SUM(Z12:Z83)</f>
        <v>658488</v>
      </c>
      <c r="AA5" s="197">
        <f>SUM(AA12:AA83)</f>
        <v>658488</v>
      </c>
      <c r="AB5" s="196"/>
      <c r="AC5" s="197">
        <f t="shared" ref="AC5:AE5" si="0">SUM(AC12:AC83)</f>
        <v>82380</v>
      </c>
      <c r="AD5" s="197">
        <f t="shared" si="0"/>
        <v>1076261</v>
      </c>
      <c r="AE5" s="294">
        <f t="shared" si="0"/>
        <v>1817129</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291</v>
      </c>
      <c r="T7" s="206">
        <f>SUMIF($X$12:$X$83,100%,T$12:T$83)</f>
        <v>174</v>
      </c>
      <c r="U7" s="207"/>
      <c r="V7" s="208"/>
      <c r="W7" s="209"/>
      <c r="X7" s="208"/>
      <c r="Y7" s="207">
        <f>SUMIF($X$12:$X$83,100%,Y$12:Y$83)</f>
        <v>658488</v>
      </c>
      <c r="Z7" s="207">
        <f>SUMIF($X$12:$X$83,100%,Z$12:Z$83)</f>
        <v>658488</v>
      </c>
      <c r="AA7" s="207">
        <f>SUMIF($X$12:$X$83,100%,AA$12:AA$83)</f>
        <v>658488</v>
      </c>
      <c r="AB7" s="206"/>
      <c r="AC7" s="207">
        <f t="shared" ref="AC7:AE7" si="1">SUMIF($X$12:$X$83,100%,AC$12:AC$83)</f>
        <v>82380</v>
      </c>
      <c r="AD7" s="207">
        <f t="shared" si="1"/>
        <v>1076261</v>
      </c>
      <c r="AE7" s="210">
        <f t="shared" si="1"/>
        <v>1817129</v>
      </c>
      <c r="AF7" s="300"/>
    </row>
    <row r="8" spans="1:32" ht="22.35" customHeight="1" thickBot="1" x14ac:dyDescent="0.3">
      <c r="A8" s="200"/>
      <c r="S8" s="212" t="s">
        <v>292</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35" customHeight="1" thickBot="1" x14ac:dyDescent="0.3">
      <c r="A9" s="200"/>
      <c r="T9" s="200"/>
      <c r="U9" s="258"/>
      <c r="V9" s="259"/>
      <c r="W9" s="260"/>
      <c r="X9" s="259"/>
      <c r="Y9" s="259"/>
      <c r="Z9" s="258"/>
      <c r="AA9" s="258"/>
      <c r="AB9" s="200"/>
      <c r="AC9" s="258"/>
      <c r="AD9" s="258"/>
      <c r="AE9" s="258"/>
      <c r="AF9" s="300"/>
    </row>
    <row r="10" spans="1:32" ht="19.649999999999999" customHeight="1" thickBot="1" x14ac:dyDescent="0.35">
      <c r="A10" s="343" t="s">
        <v>293</v>
      </c>
      <c r="B10" s="344"/>
      <c r="C10" s="344"/>
      <c r="D10" s="344"/>
      <c r="E10" s="344"/>
      <c r="F10" s="344"/>
      <c r="G10" s="344"/>
      <c r="H10" s="344"/>
      <c r="I10" s="344"/>
      <c r="J10" s="344"/>
      <c r="K10" s="344"/>
      <c r="L10" s="344"/>
      <c r="M10" s="344"/>
      <c r="N10" s="344"/>
      <c r="O10" s="344"/>
      <c r="P10" s="344"/>
      <c r="Q10" s="344"/>
      <c r="R10" s="344"/>
      <c r="S10" s="345"/>
      <c r="T10" s="346" t="s">
        <v>294</v>
      </c>
      <c r="U10" s="347"/>
      <c r="V10" s="347"/>
      <c r="W10" s="347"/>
      <c r="X10" s="347"/>
      <c r="Y10" s="347"/>
      <c r="Z10" s="347"/>
      <c r="AA10" s="347"/>
      <c r="AB10" s="347"/>
      <c r="AC10" s="347"/>
      <c r="AD10" s="347"/>
      <c r="AE10" s="347"/>
      <c r="AF10" s="300"/>
    </row>
    <row r="11" spans="1:32" ht="159" customHeight="1" x14ac:dyDescent="0.25">
      <c r="A11" s="253" t="s">
        <v>295</v>
      </c>
      <c r="B11" s="254" t="s">
        <v>296</v>
      </c>
      <c r="C11" s="292" t="s">
        <v>297</v>
      </c>
      <c r="D11" s="292" t="s">
        <v>298</v>
      </c>
      <c r="E11" s="292" t="s">
        <v>299</v>
      </c>
      <c r="F11" s="292" t="s">
        <v>300</v>
      </c>
      <c r="G11" s="292" t="s">
        <v>301</v>
      </c>
      <c r="H11" s="292" t="s">
        <v>302</v>
      </c>
      <c r="I11" s="292" t="s">
        <v>303</v>
      </c>
      <c r="J11" s="292" t="s">
        <v>304</v>
      </c>
      <c r="K11" s="254" t="s">
        <v>305</v>
      </c>
      <c r="L11" s="292" t="s">
        <v>306</v>
      </c>
      <c r="M11" s="254" t="s">
        <v>307</v>
      </c>
      <c r="N11" s="254" t="s">
        <v>308</v>
      </c>
      <c r="O11" s="293" t="s">
        <v>309</v>
      </c>
      <c r="P11" s="293" t="s">
        <v>310</v>
      </c>
      <c r="Q11" s="262" t="s">
        <v>311</v>
      </c>
      <c r="R11" s="255" t="s">
        <v>312</v>
      </c>
      <c r="S11" s="266" t="s">
        <v>313</v>
      </c>
      <c r="T11" s="251" t="s">
        <v>314</v>
      </c>
      <c r="U11" s="216" t="s">
        <v>315</v>
      </c>
      <c r="V11" s="217" t="s">
        <v>316</v>
      </c>
      <c r="W11" s="218" t="s">
        <v>317</v>
      </c>
      <c r="X11" s="217" t="s">
        <v>318</v>
      </c>
      <c r="Y11" s="217" t="s">
        <v>319</v>
      </c>
      <c r="Z11" s="216" t="s">
        <v>320</v>
      </c>
      <c r="AA11" s="216" t="s">
        <v>321</v>
      </c>
      <c r="AB11" s="216" t="s">
        <v>322</v>
      </c>
      <c r="AC11" s="216" t="s">
        <v>323</v>
      </c>
      <c r="AD11" s="216" t="s">
        <v>324</v>
      </c>
      <c r="AE11" s="296" t="s">
        <v>325</v>
      </c>
    </row>
    <row r="12" spans="1:32" ht="207" x14ac:dyDescent="0.25">
      <c r="A12" s="108" t="s">
        <v>326</v>
      </c>
      <c r="B12" s="109" t="s">
        <v>327</v>
      </c>
      <c r="C12" s="109" t="s">
        <v>30</v>
      </c>
      <c r="D12" s="109" t="s">
        <v>30</v>
      </c>
      <c r="E12" s="109" t="s">
        <v>30</v>
      </c>
      <c r="F12" s="109" t="s">
        <v>328</v>
      </c>
      <c r="G12" s="109" t="s">
        <v>30</v>
      </c>
      <c r="H12" s="109" t="s">
        <v>329</v>
      </c>
      <c r="I12" s="109" t="s">
        <v>30</v>
      </c>
      <c r="J12" s="109" t="s">
        <v>30</v>
      </c>
      <c r="K12" s="109" t="s">
        <v>330</v>
      </c>
      <c r="L12" s="109"/>
      <c r="M12" s="109" t="s">
        <v>331</v>
      </c>
      <c r="N12" s="109" t="s">
        <v>332</v>
      </c>
      <c r="O12" s="263" t="s">
        <v>30</v>
      </c>
      <c r="P12" s="263" t="s">
        <v>333</v>
      </c>
      <c r="Q12" s="263" t="s">
        <v>334</v>
      </c>
      <c r="R12" s="263" t="s">
        <v>335</v>
      </c>
      <c r="S12" s="256" t="s">
        <v>336</v>
      </c>
      <c r="T12" s="252">
        <v>72</v>
      </c>
      <c r="U12" s="219">
        <v>13.5</v>
      </c>
      <c r="V12" s="220">
        <v>1</v>
      </c>
      <c r="W12" s="221">
        <v>320</v>
      </c>
      <c r="X12" s="220">
        <v>1</v>
      </c>
      <c r="Y12" s="222">
        <f t="shared" ref="Y12:Y14" si="2">SUM(T12*U12*W12)</f>
        <v>311040</v>
      </c>
      <c r="Z12" s="222">
        <f>SUM(Y12*V12)</f>
        <v>311040</v>
      </c>
      <c r="AA12" s="222">
        <f>SUM(Z12*X12)</f>
        <v>311040</v>
      </c>
      <c r="AB12" s="109" t="s">
        <v>337</v>
      </c>
      <c r="AC12" s="223">
        <v>45567</v>
      </c>
      <c r="AD12" s="223">
        <v>602851</v>
      </c>
      <c r="AE12" s="224">
        <f>SUM(AA12+AC12+AD12)</f>
        <v>959458</v>
      </c>
    </row>
    <row r="13" spans="1:32" ht="207" x14ac:dyDescent="0.25">
      <c r="A13" s="108" t="s">
        <v>338</v>
      </c>
      <c r="B13" s="109" t="s">
        <v>327</v>
      </c>
      <c r="C13" s="109" t="s">
        <v>30</v>
      </c>
      <c r="D13" s="109" t="s">
        <v>30</v>
      </c>
      <c r="E13" s="109" t="s">
        <v>30</v>
      </c>
      <c r="F13" s="109" t="s">
        <v>328</v>
      </c>
      <c r="G13" s="109" t="s">
        <v>30</v>
      </c>
      <c r="H13" s="109" t="s">
        <v>339</v>
      </c>
      <c r="I13" s="109" t="s">
        <v>30</v>
      </c>
      <c r="J13" s="109" t="s">
        <v>30</v>
      </c>
      <c r="K13" s="109" t="s">
        <v>330</v>
      </c>
      <c r="L13" s="109"/>
      <c r="M13" s="109" t="s">
        <v>331</v>
      </c>
      <c r="N13" s="109" t="s">
        <v>332</v>
      </c>
      <c r="O13" s="263" t="s">
        <v>30</v>
      </c>
      <c r="P13" s="263" t="s">
        <v>333</v>
      </c>
      <c r="Q13" s="263" t="s">
        <v>334</v>
      </c>
      <c r="R13" s="263" t="s">
        <v>335</v>
      </c>
      <c r="S13" s="256" t="s">
        <v>336</v>
      </c>
      <c r="T13" s="252">
        <v>26</v>
      </c>
      <c r="U13" s="219">
        <v>13.5</v>
      </c>
      <c r="V13" s="220">
        <v>1</v>
      </c>
      <c r="W13" s="221">
        <v>320</v>
      </c>
      <c r="X13" s="220">
        <v>1</v>
      </c>
      <c r="Y13" s="222">
        <f t="shared" si="2"/>
        <v>112320</v>
      </c>
      <c r="Z13" s="222">
        <f t="shared" ref="Z13:Z76" si="3">SUM(Y13*V13)</f>
        <v>112320</v>
      </c>
      <c r="AA13" s="222">
        <f t="shared" ref="AA13:AA76" si="4">SUM(Z13*X13)</f>
        <v>112320</v>
      </c>
      <c r="AB13" s="109" t="s">
        <v>337</v>
      </c>
      <c r="AC13" s="223">
        <v>16455</v>
      </c>
      <c r="AD13" s="223">
        <v>316245</v>
      </c>
      <c r="AE13" s="224">
        <f t="shared" ref="AE13:AE76" si="5">SUM(AA13+AC13+AD13)</f>
        <v>445020</v>
      </c>
    </row>
    <row r="14" spans="1:32" ht="276" x14ac:dyDescent="0.25">
      <c r="A14" s="108" t="s">
        <v>340</v>
      </c>
      <c r="B14" s="109" t="s">
        <v>327</v>
      </c>
      <c r="C14" s="109" t="s">
        <v>30</v>
      </c>
      <c r="D14" s="109" t="s">
        <v>30</v>
      </c>
      <c r="E14" s="109" t="s">
        <v>30</v>
      </c>
      <c r="F14" s="109" t="s">
        <v>328</v>
      </c>
      <c r="G14" s="109" t="s">
        <v>30</v>
      </c>
      <c r="H14" s="109" t="s">
        <v>341</v>
      </c>
      <c r="I14" s="109" t="s">
        <v>30</v>
      </c>
      <c r="J14" s="109" t="s">
        <v>30</v>
      </c>
      <c r="K14" s="109" t="s">
        <v>342</v>
      </c>
      <c r="L14" s="109"/>
      <c r="M14" s="109" t="s">
        <v>331</v>
      </c>
      <c r="N14" s="109" t="s">
        <v>343</v>
      </c>
      <c r="O14" s="263" t="s">
        <v>30</v>
      </c>
      <c r="P14" s="263" t="s">
        <v>333</v>
      </c>
      <c r="Q14" s="263" t="s">
        <v>334</v>
      </c>
      <c r="R14" s="263" t="s">
        <v>335</v>
      </c>
      <c r="S14" s="256" t="s">
        <v>344</v>
      </c>
      <c r="T14" s="252">
        <v>36</v>
      </c>
      <c r="U14" s="219">
        <v>10.1</v>
      </c>
      <c r="V14" s="220">
        <v>1</v>
      </c>
      <c r="W14" s="221">
        <v>300</v>
      </c>
      <c r="X14" s="220">
        <v>1</v>
      </c>
      <c r="Y14" s="222">
        <f t="shared" si="2"/>
        <v>109079.99999999999</v>
      </c>
      <c r="Z14" s="222">
        <f t="shared" si="3"/>
        <v>109079.99999999999</v>
      </c>
      <c r="AA14" s="222">
        <f t="shared" si="4"/>
        <v>109079.99999999999</v>
      </c>
      <c r="AB14" s="109" t="s">
        <v>337</v>
      </c>
      <c r="AC14" s="223">
        <v>10908</v>
      </c>
      <c r="AD14" s="223">
        <v>99340</v>
      </c>
      <c r="AE14" s="224">
        <f t="shared" si="5"/>
        <v>219328</v>
      </c>
    </row>
    <row r="15" spans="1:32" ht="345" x14ac:dyDescent="0.25">
      <c r="A15" s="108" t="s">
        <v>345</v>
      </c>
      <c r="B15" s="109" t="s">
        <v>327</v>
      </c>
      <c r="C15" s="109" t="s">
        <v>30</v>
      </c>
      <c r="D15" s="109" t="s">
        <v>30</v>
      </c>
      <c r="E15" s="109" t="s">
        <v>30</v>
      </c>
      <c r="F15" s="109" t="s">
        <v>328</v>
      </c>
      <c r="G15" s="109" t="s">
        <v>30</v>
      </c>
      <c r="H15" s="109" t="s">
        <v>346</v>
      </c>
      <c r="I15" s="109" t="s">
        <v>30</v>
      </c>
      <c r="J15" s="109" t="s">
        <v>30</v>
      </c>
      <c r="K15" s="109" t="s">
        <v>342</v>
      </c>
      <c r="L15" s="109"/>
      <c r="M15" s="109" t="s">
        <v>331</v>
      </c>
      <c r="N15" s="109" t="s">
        <v>343</v>
      </c>
      <c r="O15" s="263" t="s">
        <v>30</v>
      </c>
      <c r="P15" s="263" t="s">
        <v>333</v>
      </c>
      <c r="Q15" s="263" t="s">
        <v>334</v>
      </c>
      <c r="R15" s="263" t="s">
        <v>335</v>
      </c>
      <c r="S15" s="256" t="s">
        <v>347</v>
      </c>
      <c r="T15" s="252">
        <v>40</v>
      </c>
      <c r="U15" s="219">
        <v>10.1</v>
      </c>
      <c r="V15" s="220">
        <v>1</v>
      </c>
      <c r="W15" s="221">
        <v>312</v>
      </c>
      <c r="X15" s="220">
        <v>1</v>
      </c>
      <c r="Y15" s="222">
        <f>SUM(T15*U15*W15)</f>
        <v>126048</v>
      </c>
      <c r="Z15" s="222">
        <f t="shared" si="3"/>
        <v>126048</v>
      </c>
      <c r="AA15" s="222">
        <f t="shared" si="4"/>
        <v>126048</v>
      </c>
      <c r="AB15" s="109" t="s">
        <v>337</v>
      </c>
      <c r="AC15" s="223">
        <v>9450</v>
      </c>
      <c r="AD15" s="223">
        <v>57825</v>
      </c>
      <c r="AE15" s="224">
        <f t="shared" si="5"/>
        <v>193323</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290</v>
      </c>
      <c r="B89" s="195"/>
      <c r="C89" s="195"/>
      <c r="D89" s="195"/>
      <c r="E89" s="195"/>
      <c r="F89" s="195"/>
      <c r="G89" s="195"/>
      <c r="H89" s="195"/>
      <c r="I89" s="195"/>
      <c r="J89" s="195"/>
      <c r="K89" s="195"/>
      <c r="L89" s="195"/>
      <c r="M89" s="195"/>
      <c r="N89" s="195"/>
      <c r="O89" s="195"/>
      <c r="P89" s="195"/>
      <c r="Q89" s="195"/>
      <c r="R89" s="195"/>
      <c r="S89" s="195"/>
      <c r="T89" s="195">
        <f>SUM(T12:T83)</f>
        <v>174</v>
      </c>
      <c r="U89" s="235"/>
      <c r="V89" s="236"/>
      <c r="W89" s="237"/>
      <c r="X89" s="236"/>
      <c r="Y89" s="236"/>
      <c r="Z89" s="235">
        <f>SUM(Z12:Z83)</f>
        <v>658488</v>
      </c>
      <c r="AA89" s="235">
        <f>SUM(AA12:AA83)</f>
        <v>658488</v>
      </c>
      <c r="AB89" s="195"/>
      <c r="AC89" s="235">
        <f>SUM(AC12:AC83)</f>
        <v>82380</v>
      </c>
      <c r="AD89" s="235">
        <f>SUM(AD12:AD83)</f>
        <v>1076261</v>
      </c>
      <c r="AE89" s="238">
        <f>SUM(AE12:AE83)</f>
        <v>1817129</v>
      </c>
    </row>
    <row r="90" spans="1:31" x14ac:dyDescent="0.25">
      <c r="A90" s="72"/>
      <c r="U90" s="230"/>
      <c r="V90" s="232"/>
      <c r="W90" s="233"/>
      <c r="X90" s="232"/>
      <c r="Y90" s="232"/>
      <c r="Z90" s="230"/>
      <c r="AA90" s="230"/>
      <c r="AC90" s="234"/>
      <c r="AD90" s="234"/>
    </row>
    <row r="91" spans="1:31" ht="27.6" x14ac:dyDescent="0.25">
      <c r="A91" s="239" t="s">
        <v>291</v>
      </c>
      <c r="B91" s="205"/>
      <c r="C91" s="205"/>
      <c r="D91" s="205"/>
      <c r="E91" s="205"/>
      <c r="F91" s="205"/>
      <c r="G91" s="205"/>
      <c r="H91" s="205"/>
      <c r="I91" s="205"/>
      <c r="J91" s="205"/>
      <c r="K91" s="205"/>
      <c r="L91" s="205"/>
      <c r="M91" s="205"/>
      <c r="N91" s="205"/>
      <c r="O91" s="205"/>
      <c r="P91" s="205"/>
      <c r="Q91" s="205"/>
      <c r="R91" s="205"/>
      <c r="S91" s="205"/>
      <c r="T91" s="205">
        <f>SUMIF($X$12:$X$83,100%,T$12:T$83)</f>
        <v>174</v>
      </c>
      <c r="U91" s="240"/>
      <c r="V91" s="241"/>
      <c r="W91" s="242"/>
      <c r="X91" s="241"/>
      <c r="Y91" s="241"/>
      <c r="Z91" s="240">
        <f>SUMIF($X$12:$X$83,100%,Z$12:Z$83)</f>
        <v>658488</v>
      </c>
      <c r="AA91" s="240">
        <f>SUMIF($X$12:$X$83,100%,AA$12:AA$83)</f>
        <v>658488</v>
      </c>
      <c r="AB91" s="205"/>
      <c r="AC91" s="240">
        <f t="shared" ref="AC91:AE91" si="11">SUMIF($X$12:$X$83,100%,AC$12:AC$83)</f>
        <v>82380</v>
      </c>
      <c r="AD91" s="240">
        <f t="shared" si="11"/>
        <v>1076261</v>
      </c>
      <c r="AE91" s="243">
        <f t="shared" si="11"/>
        <v>1817129</v>
      </c>
    </row>
    <row r="92" spans="1:31" ht="14.4" thickBot="1" x14ac:dyDescent="0.3">
      <c r="A92" s="244" t="s">
        <v>292</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WIkORTzriiWXQkAQMCc2Bpxb65huGdyJFJYNvDi/8sq0uVmr8dsBF3GNZ9hEh4vSH2mY/Eo8gjABavMRpJq+lA==" saltValue="5zOJAH/4sHxem4ezS+wZTg==" spinCount="100000" sheet="1" objects="1" scenarios="1"/>
  <autoFilter ref="A11:AE83" xr:uid="{00000000-0009-0000-0000-000000000000}"/>
  <mergeCells count="2">
    <mergeCell ref="A10:S10"/>
    <mergeCell ref="T10:AE10"/>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topLeftCell="A20" workbookViewId="0">
      <selection activeCell="B29" sqref="B29:B54"/>
    </sheetView>
  </sheetViews>
  <sheetFormatPr defaultRowHeight="14.4" x14ac:dyDescent="0.3"/>
  <cols>
    <col min="1" max="4" width="26.109375" customWidth="1"/>
  </cols>
  <sheetData>
    <row r="1" spans="1:4" ht="42" customHeight="1" x14ac:dyDescent="0.3">
      <c r="A1" s="57" t="s">
        <v>348</v>
      </c>
      <c r="B1" s="58" t="s">
        <v>349</v>
      </c>
      <c r="C1" s="58" t="s">
        <v>350</v>
      </c>
      <c r="D1" s="59" t="s">
        <v>351</v>
      </c>
    </row>
    <row r="2" spans="1:4" x14ac:dyDescent="0.3">
      <c r="A2" s="16" t="s">
        <v>352</v>
      </c>
      <c r="B2" s="67">
        <v>3001371</v>
      </c>
      <c r="C2" s="68">
        <v>5175184</v>
      </c>
      <c r="D2" s="68"/>
    </row>
    <row r="3" spans="1:4" x14ac:dyDescent="0.3">
      <c r="A3" s="16" t="s">
        <v>353</v>
      </c>
      <c r="B3" s="67">
        <v>444783</v>
      </c>
      <c r="C3" s="68">
        <v>1268815</v>
      </c>
      <c r="D3" s="68"/>
    </row>
    <row r="4" spans="1:4" x14ac:dyDescent="0.3">
      <c r="A4" s="16" t="s">
        <v>354</v>
      </c>
      <c r="B4" s="67">
        <v>2156511</v>
      </c>
      <c r="C4" s="68">
        <v>5146105</v>
      </c>
      <c r="D4" s="68"/>
    </row>
    <row r="5" spans="1:4" x14ac:dyDescent="0.3">
      <c r="A5" s="16" t="s">
        <v>355</v>
      </c>
      <c r="B5" s="67">
        <v>845153</v>
      </c>
      <c r="C5" s="68">
        <v>4397869</v>
      </c>
      <c r="D5" s="68"/>
    </row>
    <row r="6" spans="1:4" x14ac:dyDescent="0.3">
      <c r="A6" s="16" t="s">
        <v>356</v>
      </c>
      <c r="B6" s="67">
        <v>13912768</v>
      </c>
      <c r="C6" s="68">
        <v>80884238</v>
      </c>
      <c r="D6" s="68"/>
    </row>
    <row r="7" spans="1:4" x14ac:dyDescent="0.3">
      <c r="A7" s="16" t="s">
        <v>357</v>
      </c>
      <c r="B7" s="67">
        <v>1542315</v>
      </c>
      <c r="C7" s="68">
        <v>16812290</v>
      </c>
      <c r="D7" s="68"/>
    </row>
    <row r="8" spans="1:4" x14ac:dyDescent="0.3">
      <c r="A8" s="16" t="s">
        <v>358</v>
      </c>
      <c r="B8" s="67">
        <v>854101</v>
      </c>
      <c r="C8" s="68">
        <v>4310318</v>
      </c>
      <c r="D8" s="68"/>
    </row>
    <row r="9" spans="1:4" x14ac:dyDescent="0.3">
      <c r="A9" s="16" t="s">
        <v>359</v>
      </c>
      <c r="B9" s="67">
        <v>347825</v>
      </c>
      <c r="C9" s="68">
        <v>420968</v>
      </c>
      <c r="D9" s="68"/>
    </row>
    <row r="10" spans="1:4" x14ac:dyDescent="0.3">
      <c r="A10" s="16" t="s">
        <v>360</v>
      </c>
      <c r="B10" s="67">
        <v>444231</v>
      </c>
      <c r="C10" s="68">
        <v>10563518</v>
      </c>
      <c r="D10" s="68"/>
    </row>
    <row r="11" spans="1:4" x14ac:dyDescent="0.3">
      <c r="A11" s="16" t="s">
        <v>361</v>
      </c>
      <c r="B11" s="67">
        <v>6122540</v>
      </c>
      <c r="C11" s="68">
        <v>102386</v>
      </c>
      <c r="D11" s="68"/>
    </row>
    <row r="12" spans="1:4" x14ac:dyDescent="0.3">
      <c r="A12" s="16" t="s">
        <v>362</v>
      </c>
      <c r="B12" s="67">
        <v>4302066</v>
      </c>
      <c r="C12" s="68">
        <v>1598829</v>
      </c>
      <c r="D12" s="68"/>
    </row>
    <row r="13" spans="1:4" x14ac:dyDescent="0.3">
      <c r="A13" s="16" t="s">
        <v>363</v>
      </c>
      <c r="B13" s="67">
        <v>100000</v>
      </c>
      <c r="C13" s="68">
        <v>34436</v>
      </c>
      <c r="D13" s="68"/>
    </row>
    <row r="14" spans="1:4" x14ac:dyDescent="0.3">
      <c r="A14" s="16" t="s">
        <v>364</v>
      </c>
      <c r="B14" s="67">
        <v>540131</v>
      </c>
      <c r="C14" s="68">
        <v>1542770</v>
      </c>
      <c r="D14" s="68"/>
    </row>
    <row r="15" spans="1:4" x14ac:dyDescent="0.3">
      <c r="A15" s="16" t="s">
        <v>365</v>
      </c>
      <c r="B15" s="67">
        <v>915588</v>
      </c>
      <c r="C15" s="68">
        <v>330544</v>
      </c>
      <c r="D15" s="68"/>
    </row>
    <row r="16" spans="1:4" x14ac:dyDescent="0.3">
      <c r="A16" s="16" t="s">
        <v>366</v>
      </c>
      <c r="B16" s="67">
        <v>7867326</v>
      </c>
      <c r="C16" s="68">
        <v>24522816</v>
      </c>
      <c r="D16" s="68"/>
    </row>
    <row r="17" spans="1:4" x14ac:dyDescent="0.3">
      <c r="A17" s="16" t="s">
        <v>367</v>
      </c>
      <c r="B17" s="67">
        <v>1427245</v>
      </c>
      <c r="C17" s="68">
        <v>4281179</v>
      </c>
      <c r="D17" s="68"/>
    </row>
    <row r="18" spans="1:4" x14ac:dyDescent="0.3">
      <c r="A18" s="16" t="s">
        <v>368</v>
      </c>
      <c r="B18" s="67">
        <v>499493</v>
      </c>
      <c r="C18" s="68">
        <v>674351</v>
      </c>
      <c r="D18" s="68"/>
    </row>
    <row r="19" spans="1:4" x14ac:dyDescent="0.3">
      <c r="A19" s="16" t="s">
        <v>369</v>
      </c>
      <c r="B19" s="67">
        <v>590081</v>
      </c>
      <c r="C19" s="68">
        <v>613441</v>
      </c>
      <c r="D19" s="68"/>
    </row>
    <row r="20" spans="1:4" x14ac:dyDescent="0.3">
      <c r="A20" s="16" t="s">
        <v>370</v>
      </c>
      <c r="B20" s="67">
        <v>1414039</v>
      </c>
      <c r="C20" s="68">
        <v>948690</v>
      </c>
      <c r="D20" s="68"/>
    </row>
    <row r="21" spans="1:4" x14ac:dyDescent="0.3">
      <c r="A21" s="16" t="s">
        <v>371</v>
      </c>
      <c r="B21" s="67">
        <v>1504382</v>
      </c>
      <c r="C21" s="68">
        <v>11898970</v>
      </c>
      <c r="D21" s="68"/>
    </row>
    <row r="22" spans="1:4" x14ac:dyDescent="0.3">
      <c r="A22" s="16" t="s">
        <v>372</v>
      </c>
      <c r="B22" s="67">
        <v>400606</v>
      </c>
      <c r="C22" s="68">
        <v>760337</v>
      </c>
      <c r="D22" s="68"/>
    </row>
    <row r="23" spans="1:4" x14ac:dyDescent="0.3">
      <c r="A23" s="16" t="s">
        <v>373</v>
      </c>
      <c r="B23" s="67">
        <v>2216740</v>
      </c>
      <c r="C23" s="68">
        <v>11041639</v>
      </c>
      <c r="D23" s="68"/>
    </row>
    <row r="24" spans="1:4" x14ac:dyDescent="0.3">
      <c r="A24" s="16" t="s">
        <v>374</v>
      </c>
      <c r="B24" s="67">
        <v>2999809</v>
      </c>
      <c r="C24" s="68">
        <v>5942834</v>
      </c>
      <c r="D24" s="68"/>
    </row>
    <row r="25" spans="1:4" x14ac:dyDescent="0.3">
      <c r="A25" s="16" t="s">
        <v>1</v>
      </c>
      <c r="B25" s="67">
        <v>2042857</v>
      </c>
      <c r="C25" s="68">
        <v>1049618</v>
      </c>
      <c r="D25" s="68"/>
    </row>
    <row r="26" spans="1:4" x14ac:dyDescent="0.3">
      <c r="A26" s="16" t="s">
        <v>375</v>
      </c>
      <c r="B26" s="67">
        <v>1282819</v>
      </c>
      <c r="C26" s="68">
        <v>4105728</v>
      </c>
      <c r="D26" s="68"/>
    </row>
    <row r="27" spans="1:4" x14ac:dyDescent="0.3">
      <c r="A27" s="16" t="s">
        <v>376</v>
      </c>
      <c r="B27" s="67">
        <v>1306915</v>
      </c>
      <c r="C27" s="68">
        <v>1538338</v>
      </c>
      <c r="D27" s="68"/>
    </row>
    <row r="28" spans="1:4" x14ac:dyDescent="0.3">
      <c r="A28" s="16" t="s">
        <v>377</v>
      </c>
      <c r="B28" s="67">
        <v>1484312</v>
      </c>
      <c r="C28" s="68">
        <v>3623768</v>
      </c>
      <c r="D28" s="68"/>
    </row>
    <row r="29" spans="1:4" x14ac:dyDescent="0.3">
      <c r="A29" s="16" t="s">
        <v>378</v>
      </c>
      <c r="B29" s="67">
        <v>207108</v>
      </c>
      <c r="C29" s="68">
        <v>89636</v>
      </c>
      <c r="D29" s="68"/>
    </row>
    <row r="30" spans="1:4" x14ac:dyDescent="0.3">
      <c r="A30" s="16" t="s">
        <v>379</v>
      </c>
      <c r="B30" s="67">
        <v>295386</v>
      </c>
      <c r="C30" s="68">
        <v>516734</v>
      </c>
      <c r="D30" s="68"/>
    </row>
    <row r="31" spans="1:4" x14ac:dyDescent="0.3">
      <c r="A31" s="16" t="s">
        <v>380</v>
      </c>
      <c r="B31" s="67">
        <v>1503375</v>
      </c>
      <c r="C31" s="68">
        <v>50332</v>
      </c>
      <c r="D31" s="68"/>
    </row>
    <row r="32" spans="1:4" x14ac:dyDescent="0.3">
      <c r="A32" s="16" t="s">
        <v>381</v>
      </c>
      <c r="B32" s="67">
        <v>186517</v>
      </c>
      <c r="C32" s="68">
        <v>68428</v>
      </c>
      <c r="D32" s="68"/>
    </row>
    <row r="33" spans="1:4" x14ac:dyDescent="0.3">
      <c r="A33" s="16" t="s">
        <v>382</v>
      </c>
      <c r="B33" s="67">
        <v>593088</v>
      </c>
      <c r="C33" s="68">
        <v>28186767</v>
      </c>
      <c r="D33" s="68"/>
    </row>
    <row r="34" spans="1:4" x14ac:dyDescent="0.3">
      <c r="A34" s="16" t="s">
        <v>383</v>
      </c>
      <c r="B34" s="67">
        <v>1426444</v>
      </c>
      <c r="C34" s="68">
        <v>10000</v>
      </c>
      <c r="D34" s="68"/>
    </row>
    <row r="35" spans="1:4" x14ac:dyDescent="0.3">
      <c r="A35" s="16" t="s">
        <v>384</v>
      </c>
      <c r="B35" s="67">
        <v>6276963</v>
      </c>
      <c r="C35" s="68">
        <v>95814665</v>
      </c>
      <c r="D35" s="68"/>
    </row>
    <row r="36" spans="1:4" x14ac:dyDescent="0.3">
      <c r="A36" s="16" t="s">
        <v>385</v>
      </c>
      <c r="B36" s="67">
        <v>3835353</v>
      </c>
      <c r="C36" s="68">
        <v>5845582</v>
      </c>
      <c r="D36" s="68"/>
    </row>
    <row r="37" spans="1:4" x14ac:dyDescent="0.3">
      <c r="A37" s="16" t="s">
        <v>386</v>
      </c>
      <c r="B37" s="67">
        <v>100000</v>
      </c>
      <c r="C37" s="68">
        <v>577666</v>
      </c>
      <c r="D37" s="68"/>
    </row>
    <row r="38" spans="1:4" x14ac:dyDescent="0.3">
      <c r="A38" s="16" t="s">
        <v>387</v>
      </c>
      <c r="B38" s="67">
        <v>2726487</v>
      </c>
      <c r="C38" s="68">
        <v>11475700</v>
      </c>
      <c r="D38" s="68"/>
    </row>
    <row r="39" spans="1:4" x14ac:dyDescent="0.3">
      <c r="A39" s="16" t="s">
        <v>388</v>
      </c>
      <c r="B39" s="67">
        <v>1986510</v>
      </c>
      <c r="C39" s="68">
        <v>5771131</v>
      </c>
      <c r="D39" s="68"/>
    </row>
    <row r="40" spans="1:4" x14ac:dyDescent="0.3">
      <c r="A40" s="16" t="s">
        <v>389</v>
      </c>
      <c r="B40" s="67">
        <v>2564273</v>
      </c>
      <c r="C40" s="68">
        <v>36551572</v>
      </c>
      <c r="D40" s="68"/>
    </row>
    <row r="41" spans="1:4" x14ac:dyDescent="0.3">
      <c r="A41" s="16" t="s">
        <v>390</v>
      </c>
      <c r="B41" s="67">
        <v>5124029</v>
      </c>
      <c r="C41" s="68">
        <v>11217343</v>
      </c>
      <c r="D41" s="68"/>
    </row>
    <row r="42" spans="1:4" x14ac:dyDescent="0.3">
      <c r="A42" s="16" t="s">
        <v>391</v>
      </c>
      <c r="B42" s="67">
        <v>372392</v>
      </c>
      <c r="C42" s="68">
        <v>2412953</v>
      </c>
      <c r="D42" s="68"/>
    </row>
    <row r="43" spans="1:4" x14ac:dyDescent="0.3">
      <c r="A43" s="16" t="s">
        <v>392</v>
      </c>
      <c r="B43" s="67">
        <v>1578228</v>
      </c>
      <c r="C43" s="68">
        <v>1384566</v>
      </c>
      <c r="D43" s="68"/>
    </row>
    <row r="44" spans="1:4" x14ac:dyDescent="0.3">
      <c r="A44" s="16" t="s">
        <v>393</v>
      </c>
      <c r="B44" s="67">
        <v>176820</v>
      </c>
      <c r="C44" s="68">
        <v>10000</v>
      </c>
      <c r="D44" s="68"/>
    </row>
    <row r="45" spans="1:4" x14ac:dyDescent="0.3">
      <c r="A45" s="16" t="s">
        <v>394</v>
      </c>
      <c r="B45" s="67">
        <v>2371598</v>
      </c>
      <c r="C45" s="68">
        <v>10548543</v>
      </c>
      <c r="D45" s="68"/>
    </row>
    <row r="46" spans="1:4" x14ac:dyDescent="0.3">
      <c r="A46" s="16" t="s">
        <v>395</v>
      </c>
      <c r="B46" s="67">
        <v>5259331</v>
      </c>
      <c r="C46" s="68">
        <v>9194500</v>
      </c>
      <c r="D46" s="68"/>
    </row>
    <row r="47" spans="1:4" x14ac:dyDescent="0.3">
      <c r="A47" s="16" t="s">
        <v>396</v>
      </c>
      <c r="B47" s="67">
        <v>377464</v>
      </c>
      <c r="C47" s="68">
        <v>34822</v>
      </c>
      <c r="D47" s="68"/>
    </row>
    <row r="48" spans="1:4" x14ac:dyDescent="0.3">
      <c r="A48" s="16" t="s">
        <v>397</v>
      </c>
      <c r="B48" s="67">
        <v>147853</v>
      </c>
      <c r="C48" s="68">
        <v>2677993</v>
      </c>
      <c r="D48" s="68"/>
    </row>
    <row r="49" spans="1:4" x14ac:dyDescent="0.3">
      <c r="A49" s="16" t="s">
        <v>398</v>
      </c>
      <c r="B49" s="67">
        <v>838196</v>
      </c>
      <c r="C49" s="68">
        <v>9393064</v>
      </c>
      <c r="D49" s="68"/>
    </row>
    <row r="50" spans="1:4" x14ac:dyDescent="0.3">
      <c r="A50" s="16" t="s">
        <v>399</v>
      </c>
      <c r="B50" s="67">
        <v>100000</v>
      </c>
      <c r="C50" s="68">
        <v>10000</v>
      </c>
      <c r="D50" s="68"/>
    </row>
    <row r="51" spans="1:4" x14ac:dyDescent="0.3">
      <c r="A51" s="16" t="s">
        <v>400</v>
      </c>
      <c r="B51" s="67">
        <v>2615422</v>
      </c>
      <c r="C51" s="68">
        <v>30566086</v>
      </c>
      <c r="D51" s="68"/>
    </row>
    <row r="52" spans="1:4" x14ac:dyDescent="0.3">
      <c r="A52" s="16" t="s">
        <v>401</v>
      </c>
      <c r="B52" s="67">
        <v>629008</v>
      </c>
      <c r="C52" s="68">
        <v>471918</v>
      </c>
      <c r="D52" s="68"/>
    </row>
    <row r="53" spans="1:4" x14ac:dyDescent="0.3">
      <c r="A53" s="16" t="s">
        <v>402</v>
      </c>
      <c r="B53" s="67">
        <v>1942148</v>
      </c>
      <c r="C53" s="68">
        <v>33794149</v>
      </c>
      <c r="D53" s="68"/>
    </row>
    <row r="54" spans="1:4" x14ac:dyDescent="0.3">
      <c r="A54" s="16" t="s">
        <v>403</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51E463603750242BE042A1C3B2080EF" ma:contentTypeVersion="18" ma:contentTypeDescription="Create a new document." ma:contentTypeScope="" ma:versionID="52a84dbcce8f6ea9515a906308a656b9">
  <xsd:schema xmlns:xsd="http://www.w3.org/2001/XMLSchema" xmlns:xs="http://www.w3.org/2001/XMLSchema" xmlns:p="http://schemas.microsoft.com/office/2006/metadata/properties" xmlns:ns2="8c5343f2-f10a-467e-bae2-c6b43f86b6ef" xmlns:ns3="85a86e0a-8e3a-4eab-af2e-422ae879a662" xmlns:ns4="73fb875a-8af9-4255-b008-0995492d31cd" targetNamespace="http://schemas.microsoft.com/office/2006/metadata/properties" ma:root="true" ma:fieldsID="e9dced30ff283e2b95f14a25e1690c9c" ns2:_="" ns3:_="" ns4:_="">
    <xsd:import namespace="8c5343f2-f10a-467e-bae2-c6b43f86b6ef"/>
    <xsd:import namespace="85a86e0a-8e3a-4eab-af2e-422ae879a662"/>
    <xsd:import namespace="73fb875a-8af9-4255-b008-0995492d31c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NotesonUse"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343f2-f10a-467e-bae2-c6b43f86b6ef"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dexed="true"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a86e0a-8e3a-4eab-af2e-422ae879a6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NotesonUse" ma:index="24" nillable="true" ma:displayName="Notes" ma:format="Dropdown" ma:internalName="NotesonUs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7c83cc1-31aa-415d-a14c-677b5cd24acc}" ma:internalName="TaxCatchAll" ma:showField="CatchAllData" ma:web="8c5343f2-f10a-467e-bae2-c6b43f86b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5a86e0a-8e3a-4eab-af2e-422ae879a662">
      <Terms xmlns="http://schemas.microsoft.com/office/infopath/2007/PartnerControls"/>
    </lcf76f155ced4ddcb4097134ff3c332f>
    <_dlc_DocId xmlns="8c5343f2-f10a-467e-bae2-c6b43f86b6ef">UZZDYTT6URQT-1534827174-3493</_dlc_DocId>
    <_dlc_DocIdUrl xmlns="8c5343f2-f10a-467e-bae2-c6b43f86b6ef">
      <Url>https://usdagcc.sharepoint.com/sites/FNCS-ROS/FNCS-ROSGeneralCollab/_layouts/15/DocIdRedir.aspx?ID=UZZDYTT6URQT-1534827174-3493</Url>
      <Description>UZZDYTT6URQT-1534827174-3493</Description>
    </_dlc_DocIdUrl>
    <NotesonUse xmlns="85a86e0a-8e3a-4eab-af2e-422ae879a662" xsi:nil="true"/>
  </documentManagement>
</p:properties>
</file>

<file path=customXml/itemProps1.xml><?xml version="1.0" encoding="utf-8"?>
<ds:datastoreItem xmlns:ds="http://schemas.openxmlformats.org/officeDocument/2006/customXml" ds:itemID="{6A6B00E1-136F-441D-97BA-A3C8D96C1884}">
  <ds:schemaRefs>
    <ds:schemaRef ds:uri="http://schemas.microsoft.com/sharepoint/events"/>
  </ds:schemaRefs>
</ds:datastoreItem>
</file>

<file path=customXml/itemProps2.xml><?xml version="1.0" encoding="utf-8"?>
<ds:datastoreItem xmlns:ds="http://schemas.openxmlformats.org/officeDocument/2006/customXml" ds:itemID="{B274EFFF-D457-493D-B4FC-5A11B2E23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343f2-f10a-467e-bae2-c6b43f86b6ef"/>
    <ds:schemaRef ds:uri="85a86e0a-8e3a-4eab-af2e-422ae879a662"/>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4.xml><?xml version="1.0" encoding="utf-8"?>
<ds:datastoreItem xmlns:ds="http://schemas.openxmlformats.org/officeDocument/2006/customXml" ds:itemID="{CB29C5A2-5A47-49CE-95CF-41A36848027F}">
  <ds:schemaRefs>
    <ds:schemaRef ds:uri="http://schemas.microsoft.com/office/2006/metadata/properties"/>
    <ds:schemaRef ds:uri="8c5343f2-f10a-467e-bae2-c6b43f86b6ef"/>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73fb875a-8af9-4255-b008-0995492d31cd"/>
    <ds:schemaRef ds:uri="85a86e0a-8e3a-4eab-af2e-422ae879a66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Mengesha, Isabelle - FNS</cp:lastModifiedBy>
  <cp:revision/>
  <dcterms:created xsi:type="dcterms:W3CDTF">2019-10-18T16:48:06Z</dcterms:created>
  <dcterms:modified xsi:type="dcterms:W3CDTF">2024-12-20T20:54:08Z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0x010100851E463603750242BE042A1C3B2080EF</vt:lpwstr>
  </property>
  <property fmtid="{D5CDD505-2E9C-101B-9397-08002B2CF9AE}" pid="3" name="MSIP_Label_3a2fed65-62e7-46ea-af74-187e0c17143a_Enabled">
    <vt:lpwstr>true</vt:lpwstr>
  </property>
  <property fmtid="{D5CDD505-2E9C-101B-9397-08002B2CF9AE}" pid="4" name="MSIP_Label_3a2fed65-62e7-46ea-af74-187e0c17143a_SetDate">
    <vt:lpwstr>2024-05-29T20:24:57Z</vt:lpwstr>
  </property>
  <property fmtid="{D5CDD505-2E9C-101B-9397-08002B2CF9AE}" pid="5" name="MSIP_Label_3a2fed65-62e7-46ea-af74-187e0c17143a_Method">
    <vt:lpwstr>Privileged</vt:lpwstr>
  </property>
  <property fmtid="{D5CDD505-2E9C-101B-9397-08002B2CF9AE}" pid="6" name="MSIP_Label_3a2fed65-62e7-46ea-af74-187e0c17143a_Name">
    <vt:lpwstr>3a2fed65-62e7-46ea-af74-187e0c17143a</vt:lpwstr>
  </property>
  <property fmtid="{D5CDD505-2E9C-101B-9397-08002B2CF9AE}" pid="7" name="MSIP_Label_3a2fed65-62e7-46ea-af74-187e0c17143a_SiteId">
    <vt:lpwstr>d5fb7087-3777-42ad-966a-892ef47225d1</vt:lpwstr>
  </property>
  <property fmtid="{D5CDD505-2E9C-101B-9397-08002B2CF9AE}" pid="8" name="MSIP_Label_3a2fed65-62e7-46ea-af74-187e0c17143a_ActionId">
    <vt:lpwstr>a7660651-afa7-417c-bb84-25c0d5b2657d</vt:lpwstr>
  </property>
  <property fmtid="{D5CDD505-2E9C-101B-9397-08002B2CF9AE}" pid="9" name="MSIP_Label_3a2fed65-62e7-46ea-af74-187e0c17143a_ContentBits">
    <vt:lpwstr>0</vt:lpwstr>
  </property>
  <property fmtid="{D5CDD505-2E9C-101B-9397-08002B2CF9AE}" pid="10" name="_dlc_DocIdItemGuid">
    <vt:lpwstr>1e7885ff-cc12-4bed-88e1-4a1dfb30f95b</vt:lpwstr>
  </property>
  <property fmtid="{D5CDD505-2E9C-101B-9397-08002B2CF9AE}" pid="11" name="MediaServiceImageTags">
    <vt:lpwstr/>
  </property>
</Properties>
</file>