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State Plans by Year\FY 2025 E&amp;T Plans\Approved Plans\508 Compliant Plans for Website\IN\"/>
    </mc:Choice>
  </mc:AlternateContent>
  <xr:revisionPtr revIDLastSave="0" documentId="13_ncr:1_{BD60CD24-DC89-4FB9-B280-79591D8AE791}" xr6:coauthVersionLast="47" xr6:coauthVersionMax="47" xr10:uidLastSave="{00000000-0000-0000-0000-000000000000}"/>
  <bookViews>
    <workbookView xWindow="28680" yWindow="-120" windowWidth="29040" windowHeight="15720" firstSheet="4" activeTab="7" xr2:uid="{00000000-000D-0000-FFFF-FFFF00000000}"/>
  </bookViews>
  <sheets>
    <sheet name="A-Contracts-Partnerships Matrix" sheetId="5" r:id="rId1"/>
    <sheet name="A-1 Intermediary Subcontracts" sheetId="9" r:id="rId2"/>
    <sheet name="C -Fund Sources &amp; Total FY Fund" sheetId="2" r:id="rId3"/>
    <sheet name="B - Operating Budget" sheetId="1" r:id="rId4"/>
    <sheet name="D- Optional-County Adm Budget" sheetId="7" r:id="rId5"/>
    <sheet name="E - Optional County Adm Compnts" sheetId="6" r:id="rId6"/>
    <sheet name="H- Estimated Participant Levels" sheetId="10" r:id="rId7"/>
    <sheet name="SWBL Tool" sheetId="11" r:id="rId8"/>
    <sheet name="FY25 Final Allocations 5-10-24" sheetId="4" state="hidden"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3">'B - Operating Budget'!$A$1:$D$40</definedName>
    <definedName name="_xlnm.Print_Area" localSheetId="2">'C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72" i="5" l="1"/>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W4" i="5" l="1"/>
  <c r="N4" i="5"/>
  <c r="O4" i="5"/>
  <c r="Q4" i="5"/>
  <c r="T4" i="5"/>
  <c r="V4" i="5"/>
  <c r="P4" i="5"/>
  <c r="U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<sst xmlns="http://schemas.openxmlformats.org/spreadsheetml/2006/main" count="414" uniqueCount="345">
  <si>
    <t>State Name (choose from drop down list)</t>
  </si>
  <si>
    <t>ALABAMA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</si>
  <si>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</si>
  <si>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</si>
  <si>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</si>
  <si>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</si>
  <si>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</si>
  <si>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</si>
  <si>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</si>
  <si>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</si>
  <si>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</si>
  <si>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</si>
  <si>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</si>
  <si>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</si>
  <si>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</si>
  <si>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</si>
  <si>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</si>
  <si>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</si>
  <si>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</si>
  <si>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</si>
  <si>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</si>
  <si>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</si>
  <si>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</si>
  <si>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</si>
  <si>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</si>
  <si>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</si>
  <si>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</si>
  <si>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</si>
  <si>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</si>
  <si>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</si>
  <si>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</si>
  <si>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</si>
  <si>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</si>
  <si>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</si>
  <si>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</si>
  <si>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</si>
  <si>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</si>
  <si>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</si>
  <si>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</si>
  <si>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</si>
  <si>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</si>
  <si>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</si>
  <si>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</si>
  <si>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</si>
  <si>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</si>
  <si>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</si>
  <si>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</si>
  <si>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</si>
  <si>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</si>
  <si>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</si>
  <si>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</si>
  <si>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</si>
  <si>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</si>
  <si>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</si>
  <si>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</si>
  <si>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</si>
  <si>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</si>
  <si>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</si>
  <si>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</si>
  <si>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</si>
  <si>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</si>
  <si>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</si>
  <si>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</si>
  <si>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</si>
  <si>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</si>
  <si>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</si>
  <si>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</si>
  <si>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</si>
  <si>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</si>
  <si>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</si>
  <si>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</si>
  <si>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</si>
  <si>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</si>
  <si>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</si>
  <si>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</si>
  <si>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</si>
  <si>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</si>
  <si>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</si>
  <si>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</si>
  <si>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</si>
  <si>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</si>
  <si>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</si>
  <si>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</si>
  <si>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</si>
  <si>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</si>
  <si>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</si>
  <si>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</si>
  <si>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</si>
  <si>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</si>
  <si>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</si>
  <si>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</si>
  <si>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</si>
  <si>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</si>
  <si>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</si>
  <si>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</si>
  <si>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</si>
  <si>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</si>
  <si>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</si>
  <si>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</si>
  <si>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</si>
  <si>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</si>
  <si>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</si>
  <si>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</si>
  <si>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</si>
  <si>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</si>
  <si>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</si>
  <si>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</si>
  <si>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</si>
  <si>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</si>
  <si>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</si>
  <si>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</si>
  <si>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</si>
  <si>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</si>
  <si>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</si>
  <si>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</si>
  <si>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</si>
  <si>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</si>
  <si>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</si>
  <si>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</si>
  <si>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</si>
  <si>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</si>
  <si>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</si>
  <si>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</si>
  <si>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</si>
  <si>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</si>
  <si>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</si>
  <si>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</si>
  <si>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</si>
  <si>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</si>
  <si>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</si>
  <si>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</si>
  <si>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</si>
  <si>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</si>
  <si>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</si>
  <si>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</si>
  <si>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</si>
  <si>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</si>
  <si>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</si>
  <si>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</si>
  <si>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</si>
  <si>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</si>
  <si>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</si>
  <si>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</si>
  <si>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</si>
  <si>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</si>
  <si>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</si>
  <si>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</si>
  <si>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</si>
  <si>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</si>
  <si>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</si>
  <si>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</si>
  <si>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</si>
  <si>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</si>
  <si>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</si>
  <si>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</si>
  <si>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</si>
  <si>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</si>
  <si>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</si>
  <si>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</si>
  <si>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</si>
  <si>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</si>
  <si>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</si>
  <si>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</si>
  <si>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</si>
  <si>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</si>
  <si>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</si>
  <si>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</si>
  <si>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</si>
  <si>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</si>
  <si>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</si>
  <si>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</si>
  <si>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</si>
  <si>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</si>
  <si>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</si>
  <si>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</si>
  <si>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</si>
  <si>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</si>
  <si>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</si>
  <si>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</si>
  <si>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</si>
  <si>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</si>
  <si>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</si>
  <si>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</si>
  <si>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</si>
  <si>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</si>
  <si>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</si>
  <si>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</si>
  <si>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</si>
  <si>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</si>
  <si>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</si>
  <si>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</si>
  <si>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</si>
  <si>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</si>
  <si>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</si>
  <si>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</si>
  <si>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</si>
  <si>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</si>
  <si>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</si>
  <si>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</si>
  <si>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</si>
  <si>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</si>
  <si>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</si>
  <si>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</si>
  <si>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</si>
  <si>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</si>
  <si>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</si>
  <si>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</si>
  <si>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</si>
  <si>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</si>
  <si>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STATE</t>
  </si>
  <si>
    <t>FY 2025 FINAL 100% E&amp;T GRANT - 5/10/24</t>
  </si>
  <si>
    <t>FY 2024 50% Federal Reimbursement Target (5/10/24)</t>
  </si>
  <si>
    <t>ABAWD Pledge Grant (To be detetermined after Plans approved)</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</si>
  <si>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</si>
  <si>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</si>
  <si>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</si>
  <si>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</si>
  <si>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</si>
  <si>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</si>
  <si>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</si>
  <si>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</si>
  <si>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</si>
  <si>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</si>
  <si>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</si>
  <si>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</si>
  <si>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</si>
  <si>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</si>
  <si>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</si>
  <si>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</si>
  <si>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</si>
  <si>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</si>
  <si>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</si>
  <si>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</si>
  <si>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</si>
  <si>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</si>
  <si>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</si>
  <si>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</si>
  <si>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</si>
  <si>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</si>
  <si>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</si>
  <si>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</si>
  <si>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</si>
  <si>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</si>
  <si>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</si>
  <si>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</si>
  <si>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</si>
  <si>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</si>
  <si>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</si>
  <si>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</si>
  <si>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</si>
  <si>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</si>
  <si>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</si>
  <si>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</si>
  <si>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</si>
  <si>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</si>
  <si>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</si>
  <si>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</si>
  <si>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</si>
  <si>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</si>
  <si>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</si>
  <si>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</si>
  <si>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</si>
  <si>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</si>
  <si>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</si>
  <si>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</si>
  <si>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</si>
  <si>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</si>
  <si>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</si>
  <si>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</si>
  <si>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</si>
  <si>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</si>
  <si>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</si>
  <si>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</si>
  <si>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</si>
  <si>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</si>
  <si>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</si>
  <si>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</si>
  <si>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No</t>
  </si>
  <si>
    <t>Consulting</t>
  </si>
  <si>
    <t>Internship (WBLI-Sub)</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</si>
  <si>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</si>
  <si>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</si>
  <si>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</si>
  <si>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</si>
  <si>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</si>
  <si>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</si>
  <si>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</si>
  <si>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</si>
  <si>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Yes</t>
  </si>
  <si>
    <t>E&amp;T Services</t>
  </si>
  <si>
    <t>Pre-Apprenticeship (WBLPA-Sub)</t>
  </si>
  <si>
    <t>If 50/50 Funds are used</t>
  </si>
  <si>
    <t>Basic Skills Gain</t>
  </si>
  <si>
    <t>E&amp;T Provider</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</si>
  <si>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</si>
  <si>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</si>
  <si>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</si>
  <si>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</si>
  <si>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</si>
  <si>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</si>
  <si>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</si>
  <si>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</si>
  <si>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</si>
  <si>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</si>
  <si>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</si>
  <si>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</si>
  <si>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</si>
  <si>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</si>
  <si>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</si>
  <si>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</si>
  <si>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</si>
  <si>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</si>
  <si>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</si>
  <si>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</si>
  <si>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</si>
  <si>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</si>
  <si>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</si>
  <si>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</si>
  <si>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</si>
  <si>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</si>
  <si>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</si>
  <si>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</si>
  <si>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</si>
  <si>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</si>
  <si>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</si>
  <si>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</si>
  <si>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</si>
  <si>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</si>
  <si>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</si>
  <si>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</si>
  <si>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</si>
  <si>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</si>
  <si>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</si>
  <si>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</si>
  <si>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</si>
  <si>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</si>
  <si>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</si>
  <si>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Equus</t>
  </si>
  <si>
    <t>Goodwill</t>
  </si>
  <si>
    <t>Second Helpings</t>
  </si>
  <si>
    <t>Skilled US(Phalen Academy)</t>
  </si>
  <si>
    <t>Moser</t>
  </si>
  <si>
    <t>First Data Solutions</t>
  </si>
  <si>
    <t>University of Indianapolis(MICI-AHEC)</t>
  </si>
  <si>
    <t>All work registrants voluntary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</si>
</sst>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theme="1"/>
      <name val="Aptos"/>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8">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165" fontId="14" fillId="5" borderId="6" xfId="1" applyNumberFormat="1" applyFont="1" applyFill="1" applyBorder="1" applyProtection="1">
      <protection locked="0"/>
    </xf>
    <xf numFmtId="0" fontId="4" fillId="0" borderId="4"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7" fillId="0" borderId="6" xfId="0" applyFont="1" applyBorder="1" applyAlignment="1">
      <alignment horizontal="center" wrapText="1"/>
    </xf>
    <xf numFmtId="0" fontId="7" fillId="0" borderId="6" xfId="0" applyFont="1" applyBorder="1" applyAlignment="1">
      <alignment horizontal="left"/>
    </xf>
    <xf numFmtId="0" fontId="12" fillId="0" borderId="4" xfId="0" applyFont="1" applyBorder="1" applyAlignment="1">
      <alignment horizontal="left"/>
    </xf>
    <xf numFmtId="0" fontId="12" fillId="0" borderId="0" xfId="0" applyFont="1" applyAlignment="1">
      <alignment horizontal="left"/>
    </xf>
    <xf numFmtId="0" fontId="12" fillId="0" borderId="5"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12" fillId="0" borderId="25" xfId="0" applyFont="1" applyBorder="1" applyAlignment="1">
      <alignment horizontal="left"/>
    </xf>
    <xf numFmtId="0" fontId="7" fillId="2" borderId="31" xfId="0" applyFont="1" applyFill="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12" fillId="0" borderId="22" xfId="0" applyFont="1" applyBorder="1" applyAlignment="1">
      <alignment horizontal="left"/>
    </xf>
    <xf numFmtId="0" fontId="12" fillId="0" borderId="16" xfId="0" applyFont="1" applyBorder="1" applyAlignment="1">
      <alignment horizontal="left"/>
    </xf>
    <xf numFmtId="0" fontId="4" fillId="0" borderId="4" xfId="0" applyFont="1" applyBorder="1" applyAlignment="1">
      <alignment horizontal="left"/>
    </xf>
    <xf numFmtId="0" fontId="12" fillId="0" borderId="7" xfId="0" applyFont="1" applyBorder="1" applyAlignment="1">
      <alignment horizontal="left"/>
    </xf>
    <xf numFmtId="0" fontId="12" fillId="0" borderId="6" xfId="0" applyFont="1" applyBorder="1" applyAlignment="1">
      <alignment horizontal="left"/>
    </xf>
    <xf numFmtId="0" fontId="12" fillId="0" borderId="8" xfId="0" applyFont="1" applyBorder="1" applyAlignment="1">
      <alignment horizontal="left"/>
    </xf>
    <xf numFmtId="0" fontId="4" fillId="0" borderId="7" xfId="0" applyFont="1" applyBorder="1" applyAlignment="1">
      <alignment horizontal="left"/>
    </xf>
    <xf numFmtId="0" fontId="12" fillId="0" borderId="26" xfId="0" applyFont="1" applyBorder="1" applyAlignment="1">
      <alignment horizontal="left"/>
    </xf>
    <xf numFmtId="0" fontId="12" fillId="0" borderId="27" xfId="0" applyFont="1" applyBorder="1" applyAlignment="1">
      <alignment horizontal="left"/>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0" zoomScaleNormal="80" workbookViewId="0"/>
  </sheetViews>
  <sheetFormatPr defaultColWidth="8.77734375" defaultRowHeight="13.8" x14ac:dyDescent="0.25"/>
  <cols>
    <col min="1" max="1" width="35.21875" style="24" customWidth="1"/>
    <col min="2" max="2" width="23.5546875" style="24" customWidth="1"/>
    <col min="3" max="3" width="17.77734375" style="24" customWidth="1"/>
    <col min="4" max="5" width="22.77734375" style="80" customWidth="1"/>
    <col min="6" max="8" width="22.77734375" style="24" customWidth="1"/>
    <col min="9" max="10" width="16.77734375" style="24" customWidth="1"/>
    <col min="11" max="11" width="14.21875" style="107" customWidth="1"/>
    <col min="12" max="13" width="8.77734375" style="24"/>
    <col min="14" max="17" width="13.21875" style="24" customWidth="1"/>
    <col min="18" max="18" width="15.21875" style="24" customWidth="1"/>
    <col min="19" max="19" width="8.77734375" style="24"/>
    <col min="20" max="24" width="13.21875" style="24" customWidth="1"/>
    <col min="25" max="16384" width="8.77734375" style="24"/>
  </cols>
  <sheetData>
    <row r="1" spans="1:24" ht="28.2" thickBot="1" x14ac:dyDescent="0.3">
      <c r="A1" s="44" t="s">
        <v>0</v>
      </c>
      <c r="B1" s="78" t="s">
        <v>227</v>
      </c>
      <c r="C1" s="79"/>
      <c r="E1" s="81"/>
      <c r="F1" s="39"/>
      <c r="G1" s="39"/>
      <c r="H1" s="39"/>
      <c r="I1" s="40" t="s">
        <v>2</v>
      </c>
      <c r="J1" s="78" t="s">
        <v>3</v>
      </c>
      <c r="K1" s="82"/>
      <c r="N1" s="349" t="s">
        <v>4</v>
      </c>
      <c r="O1" s="350"/>
      <c r="P1" s="350"/>
      <c r="Q1" s="350"/>
      <c r="R1" s="350"/>
      <c r="S1" s="350"/>
      <c r="T1" s="350"/>
      <c r="U1" s="350"/>
      <c r="V1" s="350"/>
      <c r="W1" s="350"/>
      <c r="X1" s="351"/>
    </row>
    <row r="2" spans="1:24" ht="15.6" x14ac:dyDescent="0.3">
      <c r="A2" s="342" t="s">
        <v>5</v>
      </c>
      <c r="B2" s="316"/>
      <c r="C2" s="316"/>
      <c r="D2" s="316"/>
      <c r="E2" s="316"/>
      <c r="F2" s="316"/>
      <c r="G2" s="316"/>
      <c r="H2" s="316"/>
      <c r="I2" s="316"/>
      <c r="J2" s="316"/>
      <c r="K2" s="83"/>
      <c r="N2" s="352" t="s">
        <v>6</v>
      </c>
      <c r="O2" s="353"/>
      <c r="P2" s="353"/>
      <c r="Q2" s="353"/>
      <c r="R2" s="354"/>
      <c r="T2" s="352" t="s">
        <v>7</v>
      </c>
      <c r="U2" s="353"/>
      <c r="V2" s="353"/>
      <c r="W2" s="353"/>
      <c r="X2" s="354"/>
    </row>
    <row r="3" spans="1:24" ht="21.6" customHeight="1" thickBot="1" x14ac:dyDescent="0.35">
      <c r="A3" s="336" t="s">
        <v>8</v>
      </c>
      <c r="B3" s="347"/>
      <c r="C3" s="347"/>
      <c r="D3" s="347"/>
      <c r="E3" s="347"/>
      <c r="F3" s="347"/>
      <c r="G3" s="347"/>
      <c r="H3" s="347"/>
      <c r="I3" s="347"/>
      <c r="J3" s="347"/>
      <c r="K3" s="348"/>
      <c r="N3" s="355" t="s">
        <v>9</v>
      </c>
      <c r="O3" s="356"/>
      <c r="P3" s="356"/>
      <c r="Q3" s="356"/>
      <c r="R3" s="357"/>
      <c r="T3" s="355" t="s">
        <v>10</v>
      </c>
      <c r="U3" s="356"/>
      <c r="V3" s="356"/>
      <c r="W3" s="356"/>
      <c r="X3" s="357"/>
    </row>
    <row r="4" spans="1:24" s="188" customFormat="1" ht="18" customHeight="1" x14ac:dyDescent="0.3">
      <c r="A4" s="189" t="s">
        <v>11</v>
      </c>
      <c r="B4" s="186"/>
      <c r="C4" s="186"/>
      <c r="D4" s="190">
        <f>SUM(D7:D103)</f>
        <v>1446041</v>
      </c>
      <c r="E4" s="190">
        <f t="shared" ref="E4:H4" si="0">SUM(E7:E103)</f>
        <v>3362135.2199999997</v>
      </c>
      <c r="F4" s="190">
        <f t="shared" si="0"/>
        <v>4808176.22</v>
      </c>
      <c r="G4" s="190">
        <f t="shared" si="0"/>
        <v>2295670</v>
      </c>
      <c r="H4" s="190">
        <f t="shared" si="0"/>
        <v>7103846.2199999997</v>
      </c>
      <c r="I4" s="186"/>
      <c r="J4" s="190">
        <f>SUM(J7:J103)</f>
        <v>2261</v>
      </c>
      <c r="K4" s="187"/>
      <c r="N4" s="190">
        <f t="shared" ref="N4:R4" si="1">SUM(N7:N103)</f>
        <v>0</v>
      </c>
      <c r="O4" s="190">
        <f t="shared" si="1"/>
        <v>0</v>
      </c>
      <c r="P4" s="190">
        <f t="shared" si="1"/>
        <v>1681067.6099999999</v>
      </c>
      <c r="Q4" s="190">
        <f t="shared" si="1"/>
        <v>1681067.6099999999</v>
      </c>
      <c r="R4" s="190">
        <f t="shared" si="1"/>
        <v>3362135.2199999997</v>
      </c>
      <c r="T4" s="190">
        <f t="shared" ref="T4:X4" si="2">SUM(T7:T103)</f>
        <v>0</v>
      </c>
      <c r="U4" s="190">
        <f t="shared" si="2"/>
        <v>0</v>
      </c>
      <c r="V4" s="190">
        <f t="shared" si="2"/>
        <v>1147835</v>
      </c>
      <c r="W4" s="190">
        <f t="shared" si="2"/>
        <v>1147835</v>
      </c>
      <c r="X4" s="190">
        <f t="shared" si="2"/>
        <v>2295670</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337</v>
      </c>
      <c r="B7" s="93" t="s">
        <v>277</v>
      </c>
      <c r="C7" s="93" t="s">
        <v>289</v>
      </c>
      <c r="D7" s="94">
        <v>1446041</v>
      </c>
      <c r="E7" s="94">
        <v>983408</v>
      </c>
      <c r="F7" s="88">
        <f>SUM(D7:E7)</f>
        <v>2429449</v>
      </c>
      <c r="G7" s="94">
        <v>1359770</v>
      </c>
      <c r="H7" s="88">
        <f>SUM(F7:G7)</f>
        <v>3789219</v>
      </c>
      <c r="I7" s="89">
        <f>SUM(H7/'B - Operating Budget'!$D$40)</f>
        <v>0.43283249753561459</v>
      </c>
      <c r="J7" s="95">
        <v>1980</v>
      </c>
      <c r="K7" s="96" t="s">
        <v>277</v>
      </c>
      <c r="N7" s="90">
        <f>IF($K7="yes",SUM($E7*0.75),0)</f>
        <v>0</v>
      </c>
      <c r="O7" s="91">
        <f>IF($K7="yes",SUM($E7*0.25),0)</f>
        <v>0</v>
      </c>
      <c r="P7" s="91">
        <f>IF($K7="no",SUM($E7*0.5),0)</f>
        <v>491704</v>
      </c>
      <c r="Q7" s="91">
        <f>IF($K7="no",SUM($E7*0.5),0)</f>
        <v>491704</v>
      </c>
      <c r="R7" s="91">
        <f>SUM(N7:Q7)</f>
        <v>983408</v>
      </c>
      <c r="T7" s="91">
        <f>IF($K7="yes",SUM($G7*0.75),0)</f>
        <v>0</v>
      </c>
      <c r="U7" s="91">
        <f>IF($K7="yes",SUM($G7*0.25),0)</f>
        <v>0</v>
      </c>
      <c r="V7" s="91">
        <f>IF($K7="no",SUM($G7*0.5),0)</f>
        <v>679885</v>
      </c>
      <c r="W7" s="91">
        <f>IF($K7="no",SUM($G7*0.5),0)</f>
        <v>679885</v>
      </c>
      <c r="X7" s="92">
        <f>SUM(T7:W7)</f>
        <v>1359770</v>
      </c>
    </row>
    <row r="8" spans="1:24" x14ac:dyDescent="0.25">
      <c r="A8" s="97" t="s">
        <v>338</v>
      </c>
      <c r="B8" s="93" t="s">
        <v>277</v>
      </c>
      <c r="C8" s="93" t="s">
        <v>289</v>
      </c>
      <c r="D8" s="94"/>
      <c r="E8" s="94">
        <v>383340</v>
      </c>
      <c r="F8" s="88">
        <f>SUM(D8:E8)</f>
        <v>383340</v>
      </c>
      <c r="G8" s="94">
        <v>445500</v>
      </c>
      <c r="H8" s="88">
        <f t="shared" ref="H8:H103" si="3">SUM(F8:G8)</f>
        <v>828840</v>
      </c>
      <c r="I8" s="89">
        <f>SUM(H8/'B - Operating Budget'!$D$40)</f>
        <v>9.4676208278650253E-2</v>
      </c>
      <c r="J8" s="95">
        <v>100</v>
      </c>
      <c r="K8" s="96" t="s">
        <v>277</v>
      </c>
      <c r="N8" s="90">
        <f t="shared" ref="N8:N103" si="4">IF($K8="yes",SUM($E8*0.75),0)</f>
        <v>0</v>
      </c>
      <c r="O8" s="91">
        <f t="shared" ref="O8:O103" si="5">IF($K8="yes",SUM($E8*0.25),0)</f>
        <v>0</v>
      </c>
      <c r="P8" s="91">
        <f t="shared" ref="P8:Q23" si="6">IF($K8="no",SUM($E8*0.5),0)</f>
        <v>191670</v>
      </c>
      <c r="Q8" s="91">
        <f t="shared" si="6"/>
        <v>191670</v>
      </c>
      <c r="R8" s="91">
        <f t="shared" ref="R8:R19" si="7">SUM(N8:Q8)</f>
        <v>383340</v>
      </c>
      <c r="T8" s="91">
        <f t="shared" ref="T8:T103" si="8">IF($K8="yes",SUM($G8*0.75),0)</f>
        <v>0</v>
      </c>
      <c r="U8" s="91">
        <f t="shared" ref="U8:U103" si="9">IF($K8="yes",SUM($G8*0.25),0)</f>
        <v>0</v>
      </c>
      <c r="V8" s="91">
        <f t="shared" ref="V8:W72" si="10">IF($K8="no",SUM($G8*0.5),0)</f>
        <v>222750</v>
      </c>
      <c r="W8" s="91">
        <f t="shared" si="10"/>
        <v>222750</v>
      </c>
      <c r="X8" s="92">
        <f t="shared" ref="X8:X103" si="11">SUM(T8:W8)</f>
        <v>445500</v>
      </c>
    </row>
    <row r="9" spans="1:24" x14ac:dyDescent="0.25">
      <c r="A9" s="97" t="s">
        <v>339</v>
      </c>
      <c r="B9" s="93" t="s">
        <v>277</v>
      </c>
      <c r="C9" s="93" t="s">
        <v>289</v>
      </c>
      <c r="D9" s="94"/>
      <c r="E9" s="94">
        <v>296544</v>
      </c>
      <c r="F9" s="88">
        <f t="shared" ref="F9:F103" si="12">SUM(D9:E9)</f>
        <v>296544</v>
      </c>
      <c r="G9" s="94">
        <v>32400</v>
      </c>
      <c r="H9" s="88">
        <f t="shared" si="3"/>
        <v>328944</v>
      </c>
      <c r="I9" s="89">
        <f>SUM(H9/'B - Operating Budget'!$D$40)</f>
        <v>3.7574405984282043E-2</v>
      </c>
      <c r="J9" s="95">
        <v>45</v>
      </c>
      <c r="K9" s="96" t="s">
        <v>277</v>
      </c>
      <c r="N9" s="90">
        <f t="shared" si="4"/>
        <v>0</v>
      </c>
      <c r="O9" s="91">
        <f t="shared" si="5"/>
        <v>0</v>
      </c>
      <c r="P9" s="91">
        <f t="shared" si="6"/>
        <v>148272</v>
      </c>
      <c r="Q9" s="91">
        <f t="shared" si="6"/>
        <v>148272</v>
      </c>
      <c r="R9" s="91">
        <f t="shared" si="7"/>
        <v>296544</v>
      </c>
      <c r="T9" s="91">
        <f t="shared" si="8"/>
        <v>0</v>
      </c>
      <c r="U9" s="91">
        <f t="shared" si="9"/>
        <v>0</v>
      </c>
      <c r="V9" s="91">
        <f t="shared" si="10"/>
        <v>16200</v>
      </c>
      <c r="W9" s="91">
        <f t="shared" si="10"/>
        <v>16200</v>
      </c>
      <c r="X9" s="92">
        <f t="shared" si="11"/>
        <v>32400</v>
      </c>
    </row>
    <row r="10" spans="1:24" x14ac:dyDescent="0.25">
      <c r="A10" s="97" t="s">
        <v>340</v>
      </c>
      <c r="B10" s="93" t="s">
        <v>277</v>
      </c>
      <c r="C10" s="93" t="s">
        <v>289</v>
      </c>
      <c r="D10" s="94"/>
      <c r="E10" s="94">
        <v>156888</v>
      </c>
      <c r="F10" s="88">
        <f t="shared" si="12"/>
        <v>156888</v>
      </c>
      <c r="G10" s="94">
        <v>350000</v>
      </c>
      <c r="H10" s="88">
        <f t="shared" si="3"/>
        <v>506888</v>
      </c>
      <c r="I10" s="89">
        <f>SUM(H10/'B - Operating Budget'!$D$40)</f>
        <v>5.7900480022620132E-2</v>
      </c>
      <c r="J10" s="95">
        <v>100</v>
      </c>
      <c r="K10" s="96" t="s">
        <v>277</v>
      </c>
      <c r="N10" s="90">
        <f t="shared" si="4"/>
        <v>0</v>
      </c>
      <c r="O10" s="91">
        <f t="shared" si="5"/>
        <v>0</v>
      </c>
      <c r="P10" s="91">
        <f t="shared" si="6"/>
        <v>78444</v>
      </c>
      <c r="Q10" s="91">
        <f t="shared" si="6"/>
        <v>78444</v>
      </c>
      <c r="R10" s="91">
        <f t="shared" si="7"/>
        <v>156888</v>
      </c>
      <c r="T10" s="91">
        <f t="shared" si="8"/>
        <v>0</v>
      </c>
      <c r="U10" s="91">
        <f t="shared" si="9"/>
        <v>0</v>
      </c>
      <c r="V10" s="91">
        <f t="shared" si="10"/>
        <v>175000</v>
      </c>
      <c r="W10" s="91">
        <f t="shared" si="10"/>
        <v>175000</v>
      </c>
      <c r="X10" s="92">
        <f t="shared" si="11"/>
        <v>350000</v>
      </c>
    </row>
    <row r="11" spans="1:24" ht="14.4" x14ac:dyDescent="0.3">
      <c r="A11" s="97" t="s">
        <v>341</v>
      </c>
      <c r="B11" s="93" t="s">
        <v>277</v>
      </c>
      <c r="C11" s="93" t="s">
        <v>299</v>
      </c>
      <c r="D11" s="94"/>
      <c r="E11" s="314">
        <v>1452790.22</v>
      </c>
      <c r="F11" s="88">
        <f t="shared" si="12"/>
        <v>1452790.22</v>
      </c>
      <c r="G11" s="94"/>
      <c r="H11" s="88">
        <f t="shared" si="3"/>
        <v>1452790.22</v>
      </c>
      <c r="I11" s="89">
        <f>SUM(H11/'B - Operating Budget'!$D$40)</f>
        <v>0.16594839710186057</v>
      </c>
      <c r="J11" s="95"/>
      <c r="K11" s="96" t="s">
        <v>277</v>
      </c>
      <c r="N11" s="90">
        <f t="shared" si="4"/>
        <v>0</v>
      </c>
      <c r="O11" s="91">
        <f t="shared" si="5"/>
        <v>0</v>
      </c>
      <c r="P11" s="91">
        <f t="shared" si="6"/>
        <v>726395.11</v>
      </c>
      <c r="Q11" s="91">
        <f t="shared" si="6"/>
        <v>726395.11</v>
      </c>
      <c r="R11" s="91">
        <f t="shared" si="7"/>
        <v>1452790.22</v>
      </c>
      <c r="T11" s="91">
        <f t="shared" si="8"/>
        <v>0</v>
      </c>
      <c r="U11" s="91">
        <f t="shared" si="9"/>
        <v>0</v>
      </c>
      <c r="V11" s="91">
        <f t="shared" si="10"/>
        <v>0</v>
      </c>
      <c r="W11" s="91">
        <f t="shared" si="10"/>
        <v>0</v>
      </c>
      <c r="X11" s="92">
        <f t="shared" si="11"/>
        <v>0</v>
      </c>
    </row>
    <row r="12" spans="1:24" x14ac:dyDescent="0.25">
      <c r="A12" s="97" t="s">
        <v>342</v>
      </c>
      <c r="B12" s="93" t="s">
        <v>277</v>
      </c>
      <c r="C12" s="93" t="s">
        <v>314</v>
      </c>
      <c r="D12" s="94"/>
      <c r="E12" s="94">
        <v>35435</v>
      </c>
      <c r="F12" s="88">
        <f t="shared" si="12"/>
        <v>35435</v>
      </c>
      <c r="G12" s="94"/>
      <c r="H12" s="88">
        <f t="shared" si="3"/>
        <v>35435</v>
      </c>
      <c r="I12" s="89">
        <f>SUM(H12/'B - Operating Budget'!$D$40)</f>
        <v>4.0476466391028082E-3</v>
      </c>
      <c r="J12" s="95"/>
      <c r="K12" s="96" t="s">
        <v>277</v>
      </c>
      <c r="N12" s="90">
        <f t="shared" si="4"/>
        <v>0</v>
      </c>
      <c r="O12" s="91">
        <f t="shared" si="5"/>
        <v>0</v>
      </c>
      <c r="P12" s="91">
        <f t="shared" si="6"/>
        <v>17717.5</v>
      </c>
      <c r="Q12" s="91">
        <f t="shared" si="6"/>
        <v>17717.5</v>
      </c>
      <c r="R12" s="91">
        <f t="shared" si="7"/>
        <v>35435</v>
      </c>
      <c r="T12" s="91">
        <f t="shared" si="8"/>
        <v>0</v>
      </c>
      <c r="U12" s="91">
        <f t="shared" si="9"/>
        <v>0</v>
      </c>
      <c r="V12" s="91">
        <f t="shared" si="10"/>
        <v>0</v>
      </c>
      <c r="W12" s="91">
        <f t="shared" si="10"/>
        <v>0</v>
      </c>
      <c r="X12" s="92">
        <f t="shared" si="11"/>
        <v>0</v>
      </c>
    </row>
    <row r="13" spans="1:24" x14ac:dyDescent="0.25">
      <c r="A13" s="97" t="s">
        <v>343</v>
      </c>
      <c r="B13" s="93" t="s">
        <v>277</v>
      </c>
      <c r="C13" s="93" t="s">
        <v>289</v>
      </c>
      <c r="D13" s="94"/>
      <c r="E13" s="94">
        <v>53730</v>
      </c>
      <c r="F13" s="88">
        <f t="shared" si="12"/>
        <v>53730</v>
      </c>
      <c r="G13" s="94">
        <v>108000</v>
      </c>
      <c r="H13" s="88">
        <f t="shared" si="3"/>
        <v>161730</v>
      </c>
      <c r="I13" s="89">
        <f>SUM(H13/'B - Operating Budget'!$D$40)</f>
        <v>1.84739915603809E-2</v>
      </c>
      <c r="J13" s="95">
        <v>36</v>
      </c>
      <c r="K13" s="96" t="s">
        <v>277</v>
      </c>
      <c r="N13" s="90">
        <f t="shared" si="4"/>
        <v>0</v>
      </c>
      <c r="O13" s="91">
        <f t="shared" si="5"/>
        <v>0</v>
      </c>
      <c r="P13" s="91">
        <f t="shared" si="6"/>
        <v>26865</v>
      </c>
      <c r="Q13" s="91">
        <f t="shared" si="6"/>
        <v>26865</v>
      </c>
      <c r="R13" s="91">
        <f t="shared" si="7"/>
        <v>53730</v>
      </c>
      <c r="T13" s="91">
        <f t="shared" si="8"/>
        <v>0</v>
      </c>
      <c r="U13" s="91">
        <f t="shared" si="9"/>
        <v>0</v>
      </c>
      <c r="V13" s="91">
        <f t="shared" si="10"/>
        <v>54000</v>
      </c>
      <c r="W13" s="91">
        <f t="shared" si="10"/>
        <v>54000</v>
      </c>
      <c r="X13" s="92">
        <f t="shared" si="11"/>
        <v>108000</v>
      </c>
    </row>
    <row r="14" spans="1:24" x14ac:dyDescent="0.25">
      <c r="A14" s="97"/>
      <c r="B14" s="93"/>
      <c r="C14" s="93"/>
      <c r="D14" s="94"/>
      <c r="E14" s="94"/>
      <c r="F14" s="88">
        <f t="shared" si="12"/>
        <v>0</v>
      </c>
      <c r="G14" s="94"/>
      <c r="H14" s="88">
        <f t="shared" si="3"/>
        <v>0</v>
      </c>
      <c r="I14" s="89">
        <f>SUM(H14/'B - Operating Budget'!$D$40)</f>
        <v>0</v>
      </c>
      <c r="J14" s="95"/>
      <c r="K14" s="96"/>
      <c r="N14" s="90">
        <f t="shared" si="4"/>
        <v>0</v>
      </c>
      <c r="O14" s="91">
        <f t="shared" si="5"/>
        <v>0</v>
      </c>
      <c r="P14" s="91">
        <f t="shared" si="6"/>
        <v>0</v>
      </c>
      <c r="Q14" s="91">
        <f t="shared" si="6"/>
        <v>0</v>
      </c>
      <c r="R14" s="91">
        <f t="shared" si="7"/>
        <v>0</v>
      </c>
      <c r="T14" s="91">
        <f t="shared" si="8"/>
        <v>0</v>
      </c>
      <c r="U14" s="91">
        <f t="shared" si="9"/>
        <v>0</v>
      </c>
      <c r="V14" s="91">
        <f t="shared" si="10"/>
        <v>0</v>
      </c>
      <c r="W14" s="91">
        <f t="shared" si="10"/>
        <v>0</v>
      </c>
      <c r="X14" s="92">
        <f t="shared" si="11"/>
        <v>0</v>
      </c>
    </row>
    <row r="15" spans="1:24" x14ac:dyDescent="0.25">
      <c r="A15" s="97"/>
      <c r="B15" s="93"/>
      <c r="C15" s="93"/>
      <c r="D15" s="94"/>
      <c r="E15" s="94"/>
      <c r="F15" s="88">
        <f t="shared" si="12"/>
        <v>0</v>
      </c>
      <c r="G15" s="94"/>
      <c r="H15" s="88">
        <f t="shared" si="3"/>
        <v>0</v>
      </c>
      <c r="I15" s="89">
        <f>SUM(H15/'B - Operating Budget'!$D$40)</f>
        <v>0</v>
      </c>
      <c r="J15" s="95"/>
      <c r="K15" s="96"/>
      <c r="N15" s="90">
        <f t="shared" si="4"/>
        <v>0</v>
      </c>
      <c r="O15" s="91">
        <f t="shared" si="5"/>
        <v>0</v>
      </c>
      <c r="P15" s="91">
        <f t="shared" si="6"/>
        <v>0</v>
      </c>
      <c r="Q15" s="91">
        <f t="shared" si="6"/>
        <v>0</v>
      </c>
      <c r="R15" s="91">
        <f t="shared" si="7"/>
        <v>0</v>
      </c>
      <c r="T15" s="91">
        <f t="shared" si="8"/>
        <v>0</v>
      </c>
      <c r="U15" s="91">
        <f t="shared" si="9"/>
        <v>0</v>
      </c>
      <c r="V15" s="91">
        <f t="shared" si="10"/>
        <v>0</v>
      </c>
      <c r="W15" s="91">
        <f t="shared" si="10"/>
        <v>0</v>
      </c>
      <c r="X15" s="92">
        <f t="shared" si="11"/>
        <v>0</v>
      </c>
    </row>
    <row r="16" spans="1:24" x14ac:dyDescent="0.25">
      <c r="A16" s="98"/>
      <c r="B16" s="99"/>
      <c r="C16" s="99"/>
      <c r="D16" s="100"/>
      <c r="E16" s="100"/>
      <c r="F16" s="88">
        <f t="shared" si="12"/>
        <v>0</v>
      </c>
      <c r="G16" s="94"/>
      <c r="H16" s="88">
        <f t="shared" si="3"/>
        <v>0</v>
      </c>
      <c r="I16" s="89">
        <f>SUM(H16/'B - Operating Budget'!$D$40)</f>
        <v>0</v>
      </c>
      <c r="J16" s="95"/>
      <c r="K16" s="96"/>
      <c r="N16" s="90">
        <f t="shared" si="4"/>
        <v>0</v>
      </c>
      <c r="O16" s="91">
        <f t="shared" si="5"/>
        <v>0</v>
      </c>
      <c r="P16" s="91">
        <f t="shared" si="6"/>
        <v>0</v>
      </c>
      <c r="Q16" s="91">
        <f t="shared" si="6"/>
        <v>0</v>
      </c>
      <c r="R16" s="91">
        <f t="shared" si="7"/>
        <v>0</v>
      </c>
      <c r="T16" s="91">
        <f t="shared" si="8"/>
        <v>0</v>
      </c>
      <c r="U16" s="91">
        <f t="shared" si="9"/>
        <v>0</v>
      </c>
      <c r="V16" s="91">
        <f t="shared" si="10"/>
        <v>0</v>
      </c>
      <c r="W16" s="91">
        <f t="shared" si="10"/>
        <v>0</v>
      </c>
      <c r="X16" s="92">
        <f t="shared" si="11"/>
        <v>0</v>
      </c>
    </row>
    <row r="17" spans="1:24" x14ac:dyDescent="0.25">
      <c r="A17" s="97"/>
      <c r="B17" s="93"/>
      <c r="C17" s="93"/>
      <c r="D17" s="94"/>
      <c r="E17" s="94"/>
      <c r="F17" s="88">
        <f t="shared" si="12"/>
        <v>0</v>
      </c>
      <c r="G17" s="79"/>
      <c r="H17" s="88">
        <f t="shared" si="3"/>
        <v>0</v>
      </c>
      <c r="I17" s="89">
        <f>SUM(H17/'B - Operating Budget'!$D$40)</f>
        <v>0</v>
      </c>
      <c r="J17" s="95"/>
      <c r="K17" s="96"/>
      <c r="N17" s="90">
        <f t="shared" si="4"/>
        <v>0</v>
      </c>
      <c r="O17" s="91">
        <f t="shared" si="5"/>
        <v>0</v>
      </c>
      <c r="P17" s="91">
        <f t="shared" si="6"/>
        <v>0</v>
      </c>
      <c r="Q17" s="91">
        <f t="shared" si="6"/>
        <v>0</v>
      </c>
      <c r="R17" s="91">
        <f t="shared" si="7"/>
        <v>0</v>
      </c>
      <c r="T17" s="91">
        <f>IF($K17="yes",SUM($G18*0.75),0)</f>
        <v>0</v>
      </c>
      <c r="U17" s="91">
        <f>IF($K17="yes",SUM($G18*0.25),0)</f>
        <v>0</v>
      </c>
      <c r="V17" s="91">
        <f>IF($K17="no",SUM($G18*0.5),0)</f>
        <v>0</v>
      </c>
      <c r="W17" s="91">
        <f>IF($K17="no",SUM($G18*0.5),0)</f>
        <v>0</v>
      </c>
      <c r="X17" s="92">
        <f t="shared" si="11"/>
        <v>0</v>
      </c>
    </row>
    <row r="18" spans="1:24" x14ac:dyDescent="0.25">
      <c r="A18" s="97"/>
      <c r="B18" s="93"/>
      <c r="C18" s="93"/>
      <c r="D18" s="94"/>
      <c r="E18" s="94"/>
      <c r="F18" s="88">
        <f t="shared" si="12"/>
        <v>0</v>
      </c>
      <c r="G18" s="94"/>
      <c r="H18" s="88">
        <f>SUM(F18:G18)</f>
        <v>0</v>
      </c>
      <c r="I18" s="89">
        <f>SUM(H18/'B - Operating Budget'!$D$40)</f>
        <v>0</v>
      </c>
      <c r="J18" s="95"/>
      <c r="K18" s="96"/>
      <c r="N18" s="90">
        <f t="shared" si="4"/>
        <v>0</v>
      </c>
      <c r="O18" s="91">
        <f t="shared" si="5"/>
        <v>0</v>
      </c>
      <c r="P18" s="91">
        <f t="shared" si="6"/>
        <v>0</v>
      </c>
      <c r="Q18" s="91">
        <f t="shared" si="6"/>
        <v>0</v>
      </c>
      <c r="R18" s="91">
        <f t="shared" si="7"/>
        <v>0</v>
      </c>
      <c r="T18" s="91">
        <f>IF($K18="yes",SUM(#REF!*0.75),0)</f>
        <v>0</v>
      </c>
      <c r="U18" s="91">
        <f>IF($K18="yes",SUM(#REF!*0.25),0)</f>
        <v>0</v>
      </c>
      <c r="V18" s="91">
        <f>IF($K18="no",SUM(#REF!*0.5),0)</f>
        <v>0</v>
      </c>
      <c r="W18" s="91">
        <f>IF($K18="no",SUM(#REF!*0.5),0)</f>
        <v>0</v>
      </c>
      <c r="X18" s="92">
        <f t="shared" si="11"/>
        <v>0</v>
      </c>
    </row>
    <row r="19" spans="1:24" x14ac:dyDescent="0.25">
      <c r="A19" s="97"/>
      <c r="B19" s="93"/>
      <c r="C19" s="93"/>
      <c r="D19" s="94"/>
      <c r="E19" s="94"/>
      <c r="F19" s="88">
        <f t="shared" si="12"/>
        <v>0</v>
      </c>
      <c r="G19" s="94"/>
      <c r="H19" s="88">
        <f t="shared" si="3"/>
        <v>0</v>
      </c>
      <c r="I19" s="89">
        <f>SUM(H19/'B - Operating Budget'!$D$40)</f>
        <v>0</v>
      </c>
      <c r="J19" s="95"/>
      <c r="K19" s="96"/>
      <c r="N19" s="90">
        <f t="shared" si="4"/>
        <v>0</v>
      </c>
      <c r="O19" s="91">
        <f t="shared" si="5"/>
        <v>0</v>
      </c>
      <c r="P19" s="91">
        <f t="shared" si="6"/>
        <v>0</v>
      </c>
      <c r="Q19" s="91">
        <f t="shared" si="6"/>
        <v>0</v>
      </c>
      <c r="R19" s="91">
        <f t="shared" si="7"/>
        <v>0</v>
      </c>
      <c r="T19" s="91">
        <f t="shared" si="8"/>
        <v>0</v>
      </c>
      <c r="U19" s="91">
        <f t="shared" si="9"/>
        <v>0</v>
      </c>
      <c r="V19" s="91">
        <f t="shared" si="10"/>
        <v>0</v>
      </c>
      <c r="W19" s="91">
        <f t="shared" si="10"/>
        <v>0</v>
      </c>
      <c r="X19" s="92">
        <f t="shared" si="11"/>
        <v>0</v>
      </c>
    </row>
    <row r="20" spans="1:24" x14ac:dyDescent="0.25">
      <c r="A20" s="97"/>
      <c r="B20" s="93"/>
      <c r="C20" s="93"/>
      <c r="D20" s="94"/>
      <c r="E20" s="94"/>
      <c r="F20" s="88">
        <f t="shared" si="12"/>
        <v>0</v>
      </c>
      <c r="G20" s="94"/>
      <c r="H20" s="88">
        <f t="shared" si="3"/>
        <v>0</v>
      </c>
      <c r="I20" s="89">
        <f>SUM(H20/'B - Operating Budget'!$D$40)</f>
        <v>0</v>
      </c>
      <c r="J20" s="95"/>
      <c r="K20" s="96"/>
      <c r="N20" s="90">
        <f t="shared" si="4"/>
        <v>0</v>
      </c>
      <c r="O20" s="91">
        <f t="shared" si="5"/>
        <v>0</v>
      </c>
      <c r="P20" s="91">
        <f t="shared" si="6"/>
        <v>0</v>
      </c>
      <c r="Q20" s="91">
        <f t="shared" si="6"/>
        <v>0</v>
      </c>
      <c r="R20" s="91">
        <f t="shared" ref="R20:R103" si="13">SUM(N20:Q20)</f>
        <v>0</v>
      </c>
      <c r="T20" s="91">
        <f t="shared" si="8"/>
        <v>0</v>
      </c>
      <c r="U20" s="91">
        <f t="shared" si="9"/>
        <v>0</v>
      </c>
      <c r="V20" s="91">
        <f t="shared" si="10"/>
        <v>0</v>
      </c>
      <c r="W20" s="91">
        <f t="shared" si="10"/>
        <v>0</v>
      </c>
      <c r="X20" s="92">
        <f t="shared" si="11"/>
        <v>0</v>
      </c>
    </row>
    <row r="21" spans="1:24" x14ac:dyDescent="0.25">
      <c r="A21" s="97"/>
      <c r="B21" s="93"/>
      <c r="C21" s="93"/>
      <c r="D21" s="94"/>
      <c r="E21" s="94"/>
      <c r="F21" s="88">
        <f t="shared" si="12"/>
        <v>0</v>
      </c>
      <c r="G21" s="94"/>
      <c r="H21" s="88">
        <f t="shared" si="3"/>
        <v>0</v>
      </c>
      <c r="I21" s="89">
        <f>SUM(H21/'B - Operating Budget'!$D$40)</f>
        <v>0</v>
      </c>
      <c r="J21" s="95"/>
      <c r="K21" s="96"/>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c r="B22" s="93"/>
      <c r="C22" s="93"/>
      <c r="D22" s="94"/>
      <c r="E22" s="94"/>
      <c r="F22" s="88">
        <f t="shared" si="12"/>
        <v>0</v>
      </c>
      <c r="G22" s="94"/>
      <c r="H22" s="88">
        <f t="shared" si="3"/>
        <v>0</v>
      </c>
      <c r="I22" s="89">
        <f>SUM(H22/'B - Operating Budget'!$D$40)</f>
        <v>0</v>
      </c>
      <c r="J22" s="95"/>
      <c r="K22" s="96"/>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c r="B23" s="93"/>
      <c r="C23" s="93"/>
      <c r="D23" s="94"/>
      <c r="E23" s="94"/>
      <c r="F23" s="88">
        <f t="shared" si="12"/>
        <v>0</v>
      </c>
      <c r="G23" s="94"/>
      <c r="H23" s="88">
        <f t="shared" si="3"/>
        <v>0</v>
      </c>
      <c r="I23" s="89">
        <f>SUM(H23/'B - Operating Budget'!$D$40)</f>
        <v>0</v>
      </c>
      <c r="J23" s="95"/>
      <c r="K23" s="96"/>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c r="B24" s="93"/>
      <c r="C24" s="93"/>
      <c r="D24" s="94"/>
      <c r="E24" s="94"/>
      <c r="F24" s="88">
        <f t="shared" si="12"/>
        <v>0</v>
      </c>
      <c r="G24" s="94"/>
      <c r="H24" s="88">
        <f t="shared" si="3"/>
        <v>0</v>
      </c>
      <c r="I24" s="89">
        <f>SUM(H24/'B - Operating Budget'!$D$40)</f>
        <v>0</v>
      </c>
      <c r="J24" s="95"/>
      <c r="K24" s="96"/>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c r="B25" s="93"/>
      <c r="C25" s="93"/>
      <c r="D25" s="94"/>
      <c r="E25" s="94"/>
      <c r="F25" s="88">
        <f t="shared" si="12"/>
        <v>0</v>
      </c>
      <c r="G25" s="94"/>
      <c r="H25" s="88">
        <f t="shared" si="3"/>
        <v>0</v>
      </c>
      <c r="I25" s="89">
        <f>SUM(H25/'B - Operating Budget'!$D$40)</f>
        <v>0</v>
      </c>
      <c r="J25" s="95"/>
      <c r="K25" s="96"/>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c r="B26" s="93"/>
      <c r="C26" s="93"/>
      <c r="D26" s="94"/>
      <c r="E26" s="94"/>
      <c r="F26" s="88">
        <f t="shared" si="12"/>
        <v>0</v>
      </c>
      <c r="G26" s="94"/>
      <c r="H26" s="88">
        <f t="shared" si="3"/>
        <v>0</v>
      </c>
      <c r="I26" s="89">
        <f>SUM(H26/'B - Operating Budget'!$D$40)</f>
        <v>0</v>
      </c>
      <c r="J26" s="95"/>
      <c r="K26" s="96"/>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c r="B27" s="93"/>
      <c r="C27" s="93"/>
      <c r="D27" s="94"/>
      <c r="E27" s="94"/>
      <c r="F27" s="88">
        <f t="shared" ref="F27:F28" si="15">SUM(D27:E27)</f>
        <v>0</v>
      </c>
      <c r="G27" s="94"/>
      <c r="H27" s="88">
        <f t="shared" ref="H27:H28" si="16">SUM(F27:G27)</f>
        <v>0</v>
      </c>
      <c r="I27" s="89">
        <f>SUM(H27/'B - Operating Budget'!$D$40)</f>
        <v>0</v>
      </c>
      <c r="J27" s="95"/>
      <c r="K27" s="96"/>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c r="B28" s="93"/>
      <c r="C28" s="93"/>
      <c r="D28" s="94"/>
      <c r="E28" s="94"/>
      <c r="F28" s="88">
        <f t="shared" si="15"/>
        <v>0</v>
      </c>
      <c r="G28" s="94"/>
      <c r="H28" s="88">
        <f t="shared" si="16"/>
        <v>0</v>
      </c>
      <c r="I28" s="89">
        <f>SUM(H28/'B - Operating Budget'!$D$40)</f>
        <v>0</v>
      </c>
      <c r="J28" s="95"/>
      <c r="K28" s="96"/>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1446041</v>
      </c>
      <c r="E109" s="127">
        <f>SUM(E7:E103)</f>
        <v>3362135.2199999997</v>
      </c>
      <c r="F109" s="127">
        <f>SUM(F7:F103)</f>
        <v>4808176.22</v>
      </c>
      <c r="G109" s="127">
        <f>SUM(G7:G103)</f>
        <v>2295670</v>
      </c>
      <c r="H109" s="127">
        <f>SUM(H7:H103)</f>
        <v>7103846.2199999997</v>
      </c>
      <c r="I109" s="126"/>
      <c r="J109" s="126">
        <f>SUM(J7:J103)</f>
        <v>2261</v>
      </c>
      <c r="K109" s="102"/>
      <c r="N109" s="103">
        <f>SUM(N7:N103)</f>
        <v>0</v>
      </c>
      <c r="O109" s="104">
        <f t="shared" ref="O109:R109" si="29">SUM(O7:O103)</f>
        <v>0</v>
      </c>
      <c r="P109" s="104">
        <f t="shared" si="29"/>
        <v>1681067.6099999999</v>
      </c>
      <c r="Q109" s="104">
        <f t="shared" si="29"/>
        <v>1681067.6099999999</v>
      </c>
      <c r="R109" s="104">
        <f t="shared" si="29"/>
        <v>3362135.2199999997</v>
      </c>
      <c r="S109" s="105"/>
      <c r="T109" s="104">
        <f>SUM(T7:T103)</f>
        <v>0</v>
      </c>
      <c r="U109" s="104">
        <f t="shared" ref="U109:X109" si="30">SUM(U7:U103)</f>
        <v>0</v>
      </c>
      <c r="V109" s="104">
        <f t="shared" si="30"/>
        <v>1147835</v>
      </c>
      <c r="W109" s="104">
        <f t="shared" si="30"/>
        <v>1147835</v>
      </c>
      <c r="X109" s="106">
        <f t="shared" si="30"/>
        <v>2295670</v>
      </c>
    </row>
  </sheetData>
  <sheetProtection algorithmName="SHA-512" hashValue="HJLinCxKREaMyKYEsBW+t9PlZMN+bmf0STNBjkE4PXyh1IBtNOTavLyLtzsOcgtvOd+acM1dDtYfYVLvYIivXA==" saltValue="JMBqZORx6K0Nw3aECK9EBA==" spinCount="100000" sheet="1" objects="1" scenarios="1"/>
  <mergeCells count="5">
    <mergeCell ref="N1:X1"/>
    <mergeCell ref="T2:X2"/>
    <mergeCell ref="T3:X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2" width="18.5546875" customWidth="1"/>
    <col min="3" max="3" width="18.77734375" customWidth="1"/>
    <col min="4" max="4" width="50.77734375" customWidth="1"/>
    <col min="5" max="5" width="40.21875" customWidth="1"/>
    <col min="7" max="7" width="34" customWidth="1"/>
    <col min="8" max="8" width="18.5546875" customWidth="1"/>
    <col min="9" max="9" width="26.21875" style="261" customWidth="1"/>
    <col min="10" max="10" width="28.5546875" customWidth="1"/>
    <col min="11" max="11" width="23.21875" style="261" customWidth="1"/>
    <col min="14" max="14" width="98.77734375" customWidth="1"/>
    <col min="15" max="15" width="19.77734375" customWidth="1"/>
  </cols>
  <sheetData>
    <row r="1" spans="1:15" ht="42.6" customHeight="1" x14ac:dyDescent="0.3">
      <c r="A1" s="250" t="s">
        <v>2</v>
      </c>
      <c r="B1" s="250" t="s">
        <v>265</v>
      </c>
      <c r="C1" s="250" t="s">
        <v>266</v>
      </c>
      <c r="D1" s="65" t="s">
        <v>267</v>
      </c>
      <c r="E1" s="65" t="s">
        <v>268</v>
      </c>
      <c r="G1" s="250" t="s">
        <v>269</v>
      </c>
      <c r="H1" s="250" t="s">
        <v>270</v>
      </c>
      <c r="I1" s="261" t="s">
        <v>271</v>
      </c>
      <c r="J1" s="250" t="s">
        <v>272</v>
      </c>
      <c r="K1" s="265" t="s">
        <v>273</v>
      </c>
      <c r="N1" s="54" t="s">
        <v>274</v>
      </c>
      <c r="O1" s="47" t="s">
        <v>275</v>
      </c>
    </row>
    <row r="2" spans="1:15" ht="43.2" x14ac:dyDescent="0.3">
      <c r="A2" t="s">
        <v>276</v>
      </c>
      <c r="B2" t="s">
        <v>277</v>
      </c>
      <c r="C2" t="s">
        <v>278</v>
      </c>
      <c r="D2" t="s">
        <v>279</v>
      </c>
      <c r="E2" t="s">
        <v>280</v>
      </c>
      <c r="F2" s="66">
        <v>1</v>
      </c>
      <c r="G2" t="s">
        <v>281</v>
      </c>
      <c r="H2" t="s">
        <v>282</v>
      </c>
      <c r="I2" s="261" t="s">
        <v>283</v>
      </c>
      <c r="J2" t="s">
        <v>284</v>
      </c>
      <c r="K2" s="261" t="s">
        <v>285</v>
      </c>
      <c r="N2" s="8" t="s">
        <v>286</v>
      </c>
      <c r="O2" s="48">
        <f>SUM('A-Contracts-Partnerships Matrix'!D109)</f>
        <v>1446041</v>
      </c>
    </row>
    <row r="3" spans="1:15" ht="43.2" x14ac:dyDescent="0.3">
      <c r="A3" t="s">
        <v>287</v>
      </c>
      <c r="B3" t="s">
        <v>288</v>
      </c>
      <c r="C3" t="s">
        <v>289</v>
      </c>
      <c r="D3" t="s">
        <v>290</v>
      </c>
      <c r="E3" t="s">
        <v>291</v>
      </c>
      <c r="F3" s="66">
        <v>0.5</v>
      </c>
      <c r="G3" t="s">
        <v>292</v>
      </c>
      <c r="H3" t="s">
        <v>293</v>
      </c>
      <c r="I3" s="261" t="s">
        <v>294</v>
      </c>
      <c r="J3" t="s">
        <v>295</v>
      </c>
      <c r="K3" s="261" t="s">
        <v>296</v>
      </c>
      <c r="N3" s="8" t="s">
        <v>297</v>
      </c>
      <c r="O3" s="49">
        <f>SUM('B - Operating Budget'!C15+'B - Operating Budget'!C18+'B - Operating Budget'!C23+'B - Operating Budget'!C27)-('B - Operating Budget'!B15+'B - Operating Budget'!B18+'B - Operating Budget'!B23+'B - Operating Budget'!B27)</f>
        <v>5.0000000046566129E-3</v>
      </c>
    </row>
    <row r="4" spans="1:15" ht="28.8" x14ac:dyDescent="0.3">
      <c r="A4" t="s">
        <v>298</v>
      </c>
      <c r="C4" t="s">
        <v>299</v>
      </c>
      <c r="D4" t="s">
        <v>300</v>
      </c>
      <c r="G4" t="s">
        <v>301</v>
      </c>
      <c r="H4" t="s">
        <v>302</v>
      </c>
      <c r="I4" s="261" t="s">
        <v>303</v>
      </c>
      <c r="J4" t="s">
        <v>304</v>
      </c>
      <c r="K4" s="261" t="s">
        <v>305</v>
      </c>
      <c r="N4" s="8" t="s">
        <v>306</v>
      </c>
      <c r="O4" s="48">
        <f>SUM('D- Optional-County Adm Budget'!D117)</f>
        <v>0</v>
      </c>
    </row>
    <row r="5" spans="1:15" ht="21.6" customHeight="1" thickBot="1" x14ac:dyDescent="0.35">
      <c r="A5" t="s">
        <v>307</v>
      </c>
      <c r="C5" t="s">
        <v>308</v>
      </c>
      <c r="D5" t="s">
        <v>309</v>
      </c>
      <c r="J5" t="s">
        <v>310</v>
      </c>
      <c r="K5" s="261" t="s">
        <v>311</v>
      </c>
      <c r="N5" s="8" t="s">
        <v>312</v>
      </c>
      <c r="O5" s="55">
        <f>SUM(O2:O4)</f>
        <v>1446041.0049999999</v>
      </c>
    </row>
    <row r="6" spans="1:15" ht="18.600000000000001" customHeight="1" thickTop="1" x14ac:dyDescent="0.3">
      <c r="A6" t="s">
        <v>313</v>
      </c>
      <c r="C6" t="s">
        <v>314</v>
      </c>
      <c r="J6" t="s">
        <v>315</v>
      </c>
      <c r="K6" s="261" t="s">
        <v>316</v>
      </c>
      <c r="N6" s="46" t="s">
        <v>317</v>
      </c>
      <c r="O6" s="45"/>
    </row>
    <row r="7" spans="1:15" x14ac:dyDescent="0.3">
      <c r="A7" t="s">
        <v>3</v>
      </c>
      <c r="J7" t="s">
        <v>318</v>
      </c>
      <c r="K7" s="261" t="s">
        <v>319</v>
      </c>
      <c r="N7" s="8" t="s">
        <v>320</v>
      </c>
      <c r="O7" s="48">
        <f>SUM('A-Contracts-Partnerships Matrix'!N109+'A-Contracts-Partnerships Matrix'!P109)</f>
        <v>1681067.6099999999</v>
      </c>
    </row>
    <row r="8" spans="1:15" ht="28.8" x14ac:dyDescent="0.3">
      <c r="J8" t="s">
        <v>321</v>
      </c>
      <c r="K8" s="261" t="s">
        <v>322</v>
      </c>
      <c r="N8" s="8" t="s">
        <v>323</v>
      </c>
      <c r="O8" s="49">
        <f>SUM('B - Operating Budget'!C15+'B - Operating Budget'!C18+'B - Operating Budget'!C23+'B - Operating Budget'!C27)-O3</f>
        <v>825311.755</v>
      </c>
    </row>
    <row r="9" spans="1:15" x14ac:dyDescent="0.3">
      <c r="J9" t="s">
        <v>324</v>
      </c>
      <c r="N9" s="8" t="s">
        <v>325</v>
      </c>
      <c r="O9" s="48">
        <f>SUM('D- Optional-County Adm Budget'!E117)/2</f>
        <v>0</v>
      </c>
    </row>
    <row r="10" spans="1:15" x14ac:dyDescent="0.3">
      <c r="J10" t="s">
        <v>326</v>
      </c>
      <c r="N10" s="8" t="s">
        <v>327</v>
      </c>
      <c r="O10" s="48">
        <f>IF('C -Fund Sources &amp; Total FY Fund'!$E$9&gt;0,'C -Fund Sources &amp; Total FY Fund'!$E$9/2,0)</f>
        <v>9398.0024999999441</v>
      </c>
    </row>
    <row r="11" spans="1:15" ht="15" thickBot="1" x14ac:dyDescent="0.35">
      <c r="J11" t="s">
        <v>328</v>
      </c>
      <c r="N11" s="8" t="s">
        <v>329</v>
      </c>
      <c r="O11" s="55">
        <f>SUM(O7:O10)</f>
        <v>2515777.3674999997</v>
      </c>
    </row>
    <row r="12" spans="1:15" ht="15" thickTop="1" x14ac:dyDescent="0.3">
      <c r="N12" s="8"/>
      <c r="O12" s="45"/>
    </row>
    <row r="13" spans="1:15" x14ac:dyDescent="0.3">
      <c r="N13" s="50" t="s">
        <v>330</v>
      </c>
      <c r="O13" s="45"/>
    </row>
    <row r="14" spans="1:15" x14ac:dyDescent="0.3">
      <c r="N14" s="8" t="s">
        <v>331</v>
      </c>
      <c r="O14" s="48">
        <f>SUM('A-Contracts-Partnerships Matrix'!O109+'A-Contracts-Partnerships Matrix'!Q109)</f>
        <v>1681067.6099999999</v>
      </c>
    </row>
    <row r="15" spans="1:15" x14ac:dyDescent="0.3">
      <c r="N15" s="8" t="s">
        <v>332</v>
      </c>
      <c r="O15" s="49">
        <f>SUM('B - Operating Budget'!B15+'B - Operating Budget'!B18+'B - Operating Budget'!B23+'B - Operating Budget'!B27)</f>
        <v>825311.755</v>
      </c>
    </row>
    <row r="16" spans="1:15" x14ac:dyDescent="0.3">
      <c r="N16" s="8" t="s">
        <v>333</v>
      </c>
      <c r="O16" s="48">
        <f>SUM('D- Optional-County Adm Budget'!E117)/2</f>
        <v>0</v>
      </c>
    </row>
    <row r="17" spans="14:15" x14ac:dyDescent="0.3">
      <c r="N17" s="8" t="s">
        <v>327</v>
      </c>
      <c r="O17" s="48">
        <f>IF('C -Fund Sources &amp; Total FY Fund'!$E$9&gt;0,'C -Fund Sources &amp; Total FY Fund'!$E$9/2,0)</f>
        <v>9398.0024999999441</v>
      </c>
    </row>
    <row r="18" spans="14:15" ht="15" thickBot="1" x14ac:dyDescent="0.35">
      <c r="N18" s="8" t="s">
        <v>334</v>
      </c>
      <c r="O18" s="55">
        <f>SUM(O14:O17)</f>
        <v>2515777.3674999997</v>
      </c>
    </row>
    <row r="19" spans="14:15" ht="15.6" thickTop="1" thickBot="1" x14ac:dyDescent="0.35">
      <c r="N19" s="51" t="s">
        <v>335</v>
      </c>
      <c r="O19" s="52">
        <f>SUM(O5+O11+O18)</f>
        <v>6477595.7399999993</v>
      </c>
    </row>
    <row r="20" spans="14:15" ht="15" thickBot="1" x14ac:dyDescent="0.35"/>
    <row r="21" spans="14:15" x14ac:dyDescent="0.3">
      <c r="N21" s="372" t="s">
        <v>336</v>
      </c>
      <c r="O21" s="373"/>
    </row>
    <row r="22" spans="14:15" x14ac:dyDescent="0.3">
      <c r="N22" s="374"/>
      <c r="O22" s="375"/>
    </row>
    <row r="23" spans="14:15" x14ac:dyDescent="0.3">
      <c r="N23" s="374"/>
      <c r="O23" s="375"/>
    </row>
    <row r="24" spans="14:15" x14ac:dyDescent="0.3">
      <c r="N24" s="374"/>
      <c r="O24" s="375"/>
    </row>
    <row r="25" spans="14:15" x14ac:dyDescent="0.3">
      <c r="N25" s="374"/>
      <c r="O25" s="375"/>
    </row>
    <row r="26" spans="14:15" x14ac:dyDescent="0.3">
      <c r="N26" s="374"/>
      <c r="O26" s="375"/>
    </row>
    <row r="27" spans="14:15" x14ac:dyDescent="0.3">
      <c r="N27" s="374"/>
      <c r="O27" s="375"/>
    </row>
    <row r="28" spans="14:15" x14ac:dyDescent="0.3">
      <c r="N28" s="374"/>
      <c r="O28" s="375"/>
    </row>
    <row r="29" spans="14:15" ht="15" thickBot="1" x14ac:dyDescent="0.35">
      <c r="N29" s="376"/>
      <c r="O29" s="377"/>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A2" sqref="A2"/>
    </sheetView>
  </sheetViews>
  <sheetFormatPr defaultColWidth="8.77734375" defaultRowHeight="13.8" x14ac:dyDescent="0.25"/>
  <cols>
    <col min="1" max="2" width="30.77734375" style="24" customWidth="1"/>
    <col min="3" max="3" width="25.77734375" style="24" customWidth="1"/>
    <col min="4" max="5" width="14.5546875" style="24" customWidth="1"/>
    <col min="6" max="7" width="30.77734375" style="24" customWidth="1"/>
    <col min="8" max="8" width="18.21875" style="24" customWidth="1"/>
    <col min="9" max="9" width="15.77734375" style="24" customWidth="1"/>
    <col min="10" max="16384" width="8.77734375" style="24"/>
  </cols>
  <sheetData>
    <row r="1" spans="1:9" ht="34.5" customHeight="1" x14ac:dyDescent="0.25">
      <c r="A1" s="44" t="s">
        <v>0</v>
      </c>
      <c r="B1" s="39" t="str">
        <f>'A-Contracts-Partnerships Matrix'!B1</f>
        <v>INDIANA</v>
      </c>
      <c r="C1" s="39"/>
      <c r="D1" s="39"/>
      <c r="E1" s="39"/>
      <c r="F1" s="39"/>
      <c r="G1" s="39"/>
      <c r="H1" s="40" t="s">
        <v>2</v>
      </c>
      <c r="I1" s="56" t="str">
        <f>'A-Contracts-Partnerships Matrix'!J1</f>
        <v>FY2025</v>
      </c>
    </row>
    <row r="2" spans="1:9" ht="15.6" x14ac:dyDescent="0.3">
      <c r="A2" s="346" t="s">
        <v>29</v>
      </c>
      <c r="B2" s="317"/>
      <c r="C2" s="317"/>
      <c r="D2" s="317"/>
      <c r="E2" s="317"/>
      <c r="F2" s="317"/>
      <c r="G2" s="317"/>
      <c r="H2" s="317"/>
      <c r="I2" s="318"/>
    </row>
    <row r="3" spans="1:9" ht="17.399999999999999" customHeight="1" x14ac:dyDescent="0.3">
      <c r="A3" s="343" t="s">
        <v>30</v>
      </c>
      <c r="B3" s="344"/>
      <c r="C3" s="344"/>
      <c r="D3" s="344"/>
      <c r="E3" s="344"/>
      <c r="F3" s="344"/>
      <c r="G3" s="344"/>
      <c r="H3" s="344"/>
      <c r="I3" s="345"/>
    </row>
    <row r="4" spans="1:9" ht="18" customHeight="1" x14ac:dyDescent="0.3">
      <c r="A4" s="306"/>
      <c r="B4" s="307"/>
      <c r="C4" s="307"/>
      <c r="D4" s="307"/>
      <c r="E4" s="307"/>
      <c r="F4" s="307"/>
      <c r="G4" s="307"/>
      <c r="H4" s="307"/>
      <c r="I4" s="308"/>
    </row>
    <row r="5" spans="1:9" ht="18" customHeight="1" x14ac:dyDescent="0.3">
      <c r="A5" s="193" t="s">
        <v>31</v>
      </c>
      <c r="B5" s="191"/>
      <c r="C5" s="191"/>
      <c r="D5" s="191"/>
      <c r="E5" s="191"/>
      <c r="F5" s="191"/>
      <c r="G5" s="191"/>
      <c r="H5" s="191"/>
      <c r="I5" s="192">
        <f>SUM(I8:I108)</f>
        <v>0</v>
      </c>
    </row>
    <row r="6" spans="1:9" ht="18" customHeight="1" x14ac:dyDescent="0.3">
      <c r="A6" s="306"/>
      <c r="B6" s="307"/>
      <c r="C6" s="307"/>
      <c r="D6" s="307"/>
      <c r="E6" s="307"/>
      <c r="F6" s="307"/>
      <c r="G6" s="307"/>
      <c r="H6" s="307"/>
      <c r="I6" s="308"/>
    </row>
    <row r="7" spans="1:9" s="73" customFormat="1" ht="41.4" x14ac:dyDescent="0.25">
      <c r="A7" s="117" t="s">
        <v>32</v>
      </c>
      <c r="B7" s="118" t="s">
        <v>33</v>
      </c>
      <c r="C7" s="118" t="s">
        <v>34</v>
      </c>
      <c r="D7" s="118" t="s">
        <v>35</v>
      </c>
      <c r="E7" s="118" t="s">
        <v>36</v>
      </c>
      <c r="F7" s="118" t="s">
        <v>37</v>
      </c>
      <c r="G7" s="118" t="s">
        <v>38</v>
      </c>
      <c r="H7" s="118" t="s">
        <v>39</v>
      </c>
      <c r="I7" s="119" t="s">
        <v>40</v>
      </c>
    </row>
    <row r="8" spans="1:9" x14ac:dyDescent="0.25">
      <c r="A8" s="108"/>
      <c r="B8" s="109"/>
      <c r="C8" s="109"/>
      <c r="D8" s="110"/>
      <c r="E8" s="110"/>
      <c r="F8" s="109"/>
      <c r="G8" s="109"/>
      <c r="H8" s="110"/>
      <c r="I8" s="111"/>
    </row>
    <row r="9" spans="1:9" x14ac:dyDescent="0.25">
      <c r="A9" s="108"/>
      <c r="B9" s="109"/>
      <c r="C9" s="109"/>
      <c r="D9" s="110"/>
      <c r="E9" s="110"/>
      <c r="F9" s="109"/>
      <c r="G9" s="109"/>
      <c r="H9" s="110"/>
      <c r="I9" s="111"/>
    </row>
    <row r="10" spans="1:9" ht="13.05" customHeight="1" x14ac:dyDescent="0.25">
      <c r="A10" s="108"/>
      <c r="B10" s="109"/>
      <c r="C10" s="109"/>
      <c r="D10" s="110"/>
      <c r="E10" s="110"/>
      <c r="F10" s="109"/>
      <c r="G10" s="109"/>
      <c r="H10" s="110"/>
      <c r="I10" s="111"/>
    </row>
    <row r="11" spans="1:9" x14ac:dyDescent="0.25">
      <c r="A11" s="108"/>
      <c r="B11" s="109"/>
      <c r="C11" s="109"/>
      <c r="D11" s="110"/>
      <c r="E11" s="110"/>
      <c r="F11" s="109"/>
      <c r="G11" s="109"/>
      <c r="H11" s="110"/>
      <c r="I11" s="111"/>
    </row>
    <row r="12" spans="1:9" x14ac:dyDescent="0.25">
      <c r="A12" s="108"/>
      <c r="B12" s="109"/>
      <c r="C12" s="109"/>
      <c r="D12" s="110"/>
      <c r="E12" s="110"/>
      <c r="F12" s="109"/>
      <c r="G12" s="109"/>
      <c r="H12" s="110"/>
      <c r="I12" s="111"/>
    </row>
    <row r="13" spans="1:9" x14ac:dyDescent="0.25">
      <c r="A13" s="108"/>
      <c r="B13" s="109"/>
      <c r="C13" s="109"/>
      <c r="D13" s="110"/>
      <c r="E13" s="110"/>
      <c r="F13" s="109"/>
      <c r="G13" s="109"/>
      <c r="H13" s="110"/>
      <c r="I13" s="111"/>
    </row>
    <row r="14" spans="1:9" x14ac:dyDescent="0.25">
      <c r="A14" s="108"/>
      <c r="B14" s="109"/>
      <c r="C14" s="109"/>
      <c r="D14" s="110"/>
      <c r="E14" s="110"/>
      <c r="F14" s="109"/>
      <c r="G14" s="109"/>
      <c r="H14" s="110"/>
      <c r="I14" s="111"/>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41</v>
      </c>
      <c r="B113" s="116"/>
      <c r="C113" s="116"/>
      <c r="D113" s="116"/>
      <c r="E113" s="116"/>
      <c r="F113" s="116"/>
      <c r="G113" s="116"/>
      <c r="H113" s="116"/>
      <c r="I113" s="116">
        <f>SUM(I8:I108)</f>
        <v>0</v>
      </c>
    </row>
  </sheetData>
  <sheetProtection algorithmName="SHA-512" hashValue="Muay+dHb//8nmFes6u7l0F3FqwOGr8rOLnKg8XTuOfn8QC4GsbXu5uzCCg7z4EXuPAmwMTCDt7nfGBqSpNeIeg==" saltValue="jTRcV1AyNZ/BfVFLu4jkng==" spinCount="100000" sheet="1" objects="1" scenarios="1"/>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A2" sqref="A2"/>
    </sheetView>
  </sheetViews>
  <sheetFormatPr defaultRowHeight="14.4" x14ac:dyDescent="0.3"/>
  <cols>
    <col min="1" max="1" width="12.77734375" customWidth="1"/>
    <col min="2" max="2" width="42.21875" customWidth="1"/>
    <col min="3" max="6" width="20.77734375" customWidth="1"/>
    <col min="9" max="9" width="14.21875" bestFit="1" customWidth="1"/>
    <col min="14" max="14" width="98.21875" customWidth="1"/>
    <col min="15" max="15" width="19.21875" customWidth="1"/>
    <col min="16" max="16" width="4.77734375" customWidth="1"/>
    <col min="17" max="17" width="14.77734375" customWidth="1"/>
  </cols>
  <sheetData>
    <row r="1" spans="1:17" ht="55.8" x14ac:dyDescent="0.3">
      <c r="A1" s="38" t="s">
        <v>0</v>
      </c>
      <c r="B1" s="39" t="str">
        <f>'A-Contracts-Partnerships Matrix'!B1</f>
        <v>INDIANA</v>
      </c>
      <c r="D1" s="39"/>
      <c r="E1" s="40" t="s">
        <v>2</v>
      </c>
      <c r="F1" s="56" t="str">
        <f>'A-Contracts-Partnerships Matrix'!J1</f>
        <v>FY2025</v>
      </c>
      <c r="N1" s="363"/>
      <c r="O1" s="363"/>
    </row>
    <row r="2" spans="1:17" ht="15.6" x14ac:dyDescent="0.3">
      <c r="A2" s="342" t="s">
        <v>75</v>
      </c>
      <c r="B2" s="316"/>
      <c r="C2" s="316"/>
      <c r="D2" s="316"/>
      <c r="E2" s="316"/>
      <c r="F2" s="321"/>
      <c r="N2" s="363"/>
      <c r="O2" s="363"/>
    </row>
    <row r="3" spans="1:17" ht="16.2" customHeight="1" thickBot="1" x14ac:dyDescent="0.35">
      <c r="A3" s="341" t="s">
        <v>76</v>
      </c>
      <c r="B3" s="319"/>
      <c r="C3" s="319"/>
      <c r="D3" s="319"/>
      <c r="E3" s="319"/>
      <c r="F3" s="320"/>
      <c r="N3" s="362"/>
      <c r="O3" s="362"/>
    </row>
    <row r="4" spans="1:17" ht="62.4" x14ac:dyDescent="0.3">
      <c r="A4" s="27" t="s">
        <v>77</v>
      </c>
      <c r="B4" s="28" t="s">
        <v>78</v>
      </c>
      <c r="C4" s="26" t="s">
        <v>79</v>
      </c>
      <c r="D4" s="29" t="s">
        <v>80</v>
      </c>
      <c r="E4" s="29" t="s">
        <v>81</v>
      </c>
      <c r="F4" s="30" t="s">
        <v>82</v>
      </c>
      <c r="N4" s="265"/>
      <c r="O4" s="287"/>
    </row>
    <row r="5" spans="1:17" ht="15.6" x14ac:dyDescent="0.3">
      <c r="A5" s="22" t="s">
        <v>83</v>
      </c>
      <c r="B5" s="12" t="s">
        <v>84</v>
      </c>
      <c r="C5" s="17">
        <f>VLOOKUP(B1,'FY25 Final Allocations 5-10-24'!1:1048576,2,FALSE)</f>
        <v>1427245</v>
      </c>
      <c r="D5" s="17">
        <f>IF(lookups!O5&gt;C5,C5,lookups!O5)</f>
        <v>1427245</v>
      </c>
      <c r="E5" s="17">
        <f>SUM(D5-C5)</f>
        <v>0</v>
      </c>
      <c r="F5" s="20">
        <f>SUM(D5/C5)</f>
        <v>1</v>
      </c>
      <c r="I5" s="25"/>
      <c r="O5" s="288"/>
    </row>
    <row r="6" spans="1:17" ht="15.6" x14ac:dyDescent="0.3">
      <c r="A6" s="22" t="s">
        <v>83</v>
      </c>
      <c r="B6" s="23" t="s">
        <v>85</v>
      </c>
      <c r="C6" s="31"/>
      <c r="D6" s="53">
        <f>IF(lookups!O5-D5&gt;C6,C6,lookups!O5-D5)</f>
        <v>0</v>
      </c>
      <c r="E6" s="17">
        <f t="shared" ref="E6:E7" si="0">SUM(D6-C6)</f>
        <v>0</v>
      </c>
      <c r="F6" s="11"/>
      <c r="O6" s="289"/>
    </row>
    <row r="7" spans="1:17" ht="15.6" x14ac:dyDescent="0.3">
      <c r="A7" s="22" t="s">
        <v>83</v>
      </c>
      <c r="B7" s="12" t="s">
        <v>86</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83</v>
      </c>
      <c r="B9" s="12" t="s">
        <v>87</v>
      </c>
      <c r="C9" s="17">
        <f>SUM(C5:C7)</f>
        <v>1427245</v>
      </c>
      <c r="D9" s="17">
        <f>SUM(D5:D7)</f>
        <v>1427245</v>
      </c>
      <c r="E9" s="17">
        <f>SUM(lookups!O5-C9)</f>
        <v>18796.004999999888</v>
      </c>
      <c r="F9" s="20"/>
      <c r="I9" s="25"/>
      <c r="N9" s="250"/>
    </row>
    <row r="10" spans="1:17" ht="15.6" x14ac:dyDescent="0.3">
      <c r="A10" s="22" t="s">
        <v>83</v>
      </c>
      <c r="B10" s="12" t="s">
        <v>88</v>
      </c>
      <c r="C10" s="2"/>
      <c r="D10" s="32">
        <f>SUM(lookups!O11)</f>
        <v>2515777.3674999997</v>
      </c>
      <c r="E10" s="4"/>
      <c r="F10" s="7"/>
      <c r="I10" s="25"/>
      <c r="O10" s="288"/>
    </row>
    <row r="11" spans="1:17" ht="15.6" x14ac:dyDescent="0.3">
      <c r="A11" s="22" t="s">
        <v>89</v>
      </c>
      <c r="B11" s="12" t="s">
        <v>88</v>
      </c>
      <c r="C11" s="2"/>
      <c r="D11" s="17">
        <f>SUM(lookups!O18)</f>
        <v>2515777.3674999997</v>
      </c>
      <c r="E11" s="4"/>
      <c r="F11" s="7"/>
      <c r="O11" s="289"/>
    </row>
    <row r="12" spans="1:17" ht="15.6" x14ac:dyDescent="0.3">
      <c r="A12" s="22" t="s">
        <v>83</v>
      </c>
      <c r="B12" s="12" t="s">
        <v>90</v>
      </c>
      <c r="C12" s="2"/>
      <c r="D12" s="32">
        <f>SUM('B - Operating Budget'!C38)</f>
        <v>1147835</v>
      </c>
      <c r="E12" s="4"/>
      <c r="F12" s="7"/>
      <c r="O12" s="288"/>
      <c r="Q12" s="25"/>
    </row>
    <row r="13" spans="1:17" ht="15.6" x14ac:dyDescent="0.3">
      <c r="A13" s="22" t="s">
        <v>89</v>
      </c>
      <c r="B13" s="12" t="s">
        <v>90</v>
      </c>
      <c r="C13" s="2"/>
      <c r="D13" s="17">
        <f>SUM('B - Operating Budget'!B38)</f>
        <v>1147835</v>
      </c>
      <c r="E13" s="4"/>
      <c r="F13" s="7"/>
      <c r="I13" s="25"/>
      <c r="O13" s="288"/>
    </row>
    <row r="14" spans="1:17" ht="15.6" x14ac:dyDescent="0.3">
      <c r="A14" s="22" t="s">
        <v>83</v>
      </c>
      <c r="B14" s="12" t="s">
        <v>91</v>
      </c>
      <c r="C14" s="17">
        <f>VLOOKUP(B1,'FY25 Final Allocations 5-10-24'!1:1048576,3,FALSE)</f>
        <v>4281179</v>
      </c>
      <c r="D14" s="17">
        <f>SUM(D10+D12)</f>
        <v>3663612.3674999997</v>
      </c>
      <c r="E14" s="17">
        <f>SUM(D14-C14)</f>
        <v>-617566.6325000003</v>
      </c>
      <c r="F14" s="11"/>
      <c r="O14" s="289"/>
    </row>
    <row r="15" spans="1:17" ht="15.6" x14ac:dyDescent="0.3">
      <c r="A15" s="22" t="s">
        <v>92</v>
      </c>
      <c r="B15" s="13"/>
      <c r="C15" s="1"/>
      <c r="D15" s="1"/>
      <c r="E15" s="1"/>
      <c r="F15" s="3"/>
    </row>
    <row r="16" spans="1:17" ht="16.2" thickBot="1" x14ac:dyDescent="0.35">
      <c r="A16" s="41"/>
      <c r="B16" s="14" t="s">
        <v>41</v>
      </c>
      <c r="C16" s="19">
        <f>SUM(C9+C14)</f>
        <v>5708424</v>
      </c>
      <c r="D16" s="19">
        <f>SUM(D9:D13)</f>
        <v>8754469.7349999994</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59" t="s">
        <v>93</v>
      </c>
      <c r="C20" s="360"/>
      <c r="D20" s="360"/>
      <c r="E20" s="361"/>
      <c r="F20" s="33"/>
      <c r="O20" s="288"/>
    </row>
    <row r="21" spans="1:15" x14ac:dyDescent="0.3">
      <c r="A21" s="24"/>
      <c r="B21" s="42"/>
      <c r="C21" s="24"/>
      <c r="D21" s="24"/>
      <c r="E21" s="43"/>
      <c r="F21" s="24"/>
      <c r="O21" s="289"/>
    </row>
    <row r="22" spans="1:15" ht="22.2" customHeight="1" x14ac:dyDescent="0.3">
      <c r="A22" s="24"/>
      <c r="B22" s="36" t="s">
        <v>78</v>
      </c>
      <c r="C22" s="15" t="s">
        <v>45</v>
      </c>
      <c r="D22" s="15" t="s">
        <v>46</v>
      </c>
      <c r="E22" s="37" t="s">
        <v>41</v>
      </c>
      <c r="F22" s="309"/>
      <c r="O22" s="289"/>
    </row>
    <row r="23" spans="1:15" ht="15.6" x14ac:dyDescent="0.3">
      <c r="A23" s="24"/>
      <c r="B23" s="5" t="s">
        <v>84</v>
      </c>
      <c r="C23" s="4"/>
      <c r="D23" s="17">
        <f>SUM(D5+D6)</f>
        <v>1427245</v>
      </c>
      <c r="E23" s="18">
        <f t="shared" ref="E23:E30" si="1">SUM(C23:D23)</f>
        <v>1427245</v>
      </c>
      <c r="F23" s="34"/>
    </row>
    <row r="24" spans="1:15" ht="15.6" x14ac:dyDescent="0.3">
      <c r="A24" s="24"/>
      <c r="B24" s="5" t="s">
        <v>86</v>
      </c>
      <c r="C24" s="4"/>
      <c r="D24" s="17">
        <f>SUM(D7)</f>
        <v>0</v>
      </c>
      <c r="E24" s="18">
        <f t="shared" si="1"/>
        <v>0</v>
      </c>
      <c r="F24" s="34"/>
      <c r="N24" s="358"/>
      <c r="O24" s="358"/>
    </row>
    <row r="25" spans="1:15" ht="15.75" customHeight="1" x14ac:dyDescent="0.3">
      <c r="A25" s="24"/>
      <c r="B25" s="5"/>
      <c r="C25" s="4"/>
      <c r="D25" s="290"/>
      <c r="E25" s="291"/>
      <c r="F25" s="34"/>
      <c r="N25" s="358"/>
      <c r="O25" s="358"/>
    </row>
    <row r="26" spans="1:15" ht="16.2" thickBot="1" x14ac:dyDescent="0.35">
      <c r="A26" s="24"/>
      <c r="B26" s="5" t="s">
        <v>88</v>
      </c>
      <c r="C26" s="19">
        <f>SUM(D11)</f>
        <v>2515777.3674999997</v>
      </c>
      <c r="D26" s="19">
        <f>SUM(D10)</f>
        <v>2515777.3674999997</v>
      </c>
      <c r="E26" s="21">
        <f t="shared" si="1"/>
        <v>5031554.7349999994</v>
      </c>
      <c r="F26" s="35"/>
      <c r="N26" s="358"/>
      <c r="O26" s="358"/>
    </row>
    <row r="27" spans="1:15" ht="15.6" x14ac:dyDescent="0.3">
      <c r="A27" s="24"/>
      <c r="B27" s="5" t="s">
        <v>94</v>
      </c>
      <c r="C27" s="281">
        <f>SUM('B - Operating Budget'!B35)</f>
        <v>192885</v>
      </c>
      <c r="D27" s="281">
        <f>SUM('B - Operating Budget'!C35)</f>
        <v>192885</v>
      </c>
      <c r="E27" s="282"/>
      <c r="F27" s="35"/>
      <c r="N27" s="358"/>
      <c r="O27" s="358"/>
    </row>
    <row r="28" spans="1:15" ht="16.2" thickBot="1" x14ac:dyDescent="0.35">
      <c r="A28" s="24"/>
      <c r="B28" s="5" t="s">
        <v>95</v>
      </c>
      <c r="C28" s="19">
        <f>SUM('B - Operating Budget'!B36)</f>
        <v>954950</v>
      </c>
      <c r="D28" s="19">
        <f>SUM('B - Operating Budget'!C36)</f>
        <v>954950</v>
      </c>
      <c r="E28" s="21"/>
      <c r="F28" s="35"/>
      <c r="N28" s="358"/>
      <c r="O28" s="358"/>
    </row>
    <row r="29" spans="1:15" ht="15.6" x14ac:dyDescent="0.3">
      <c r="A29" s="24"/>
      <c r="B29" s="5" t="s">
        <v>96</v>
      </c>
      <c r="C29" s="281">
        <f>SUM(D13)</f>
        <v>1147835</v>
      </c>
      <c r="D29" s="281">
        <f>SUM(D12)</f>
        <v>1147835</v>
      </c>
      <c r="E29" s="282">
        <f t="shared" si="1"/>
        <v>2295670</v>
      </c>
      <c r="F29" s="35"/>
      <c r="N29" s="358"/>
      <c r="O29" s="358"/>
    </row>
    <row r="30" spans="1:15" ht="16.2" thickBot="1" x14ac:dyDescent="0.35">
      <c r="A30" s="24"/>
      <c r="B30" s="5" t="s">
        <v>97</v>
      </c>
      <c r="C30" s="285">
        <f>SUM(C26+C29)</f>
        <v>3663612.3674999997</v>
      </c>
      <c r="D30" s="285">
        <f>SUM(D26+D29)</f>
        <v>3663612.3674999997</v>
      </c>
      <c r="E30" s="286">
        <f t="shared" si="1"/>
        <v>7327224.7349999994</v>
      </c>
      <c r="F30" s="34"/>
      <c r="N30" s="358"/>
      <c r="O30" s="358"/>
    </row>
    <row r="31" spans="1:15" ht="16.2" thickTop="1" x14ac:dyDescent="0.3">
      <c r="A31" s="24"/>
      <c r="B31" s="5"/>
      <c r="C31" s="283"/>
      <c r="D31" s="283"/>
      <c r="E31" s="284"/>
      <c r="F31" s="35"/>
      <c r="N31" s="358"/>
      <c r="O31" s="358"/>
    </row>
    <row r="32" spans="1:15" ht="16.2" thickBot="1" x14ac:dyDescent="0.35">
      <c r="A32" s="24"/>
      <c r="B32" s="6" t="s">
        <v>41</v>
      </c>
      <c r="C32" s="19">
        <f>SUM(C30)</f>
        <v>3663612.3674999997</v>
      </c>
      <c r="D32" s="19">
        <f>SUM(D23:D25)+D30</f>
        <v>5090857.3674999997</v>
      </c>
      <c r="E32" s="21">
        <f>SUM(C32+D32)</f>
        <v>8754469.7349999994</v>
      </c>
      <c r="F32" s="35"/>
      <c r="N32" s="358"/>
      <c r="O32" s="358"/>
    </row>
    <row r="33" spans="14:15" x14ac:dyDescent="0.3">
      <c r="N33" s="358"/>
      <c r="O33" s="358"/>
    </row>
    <row r="34" spans="14:15" x14ac:dyDescent="0.3">
      <c r="N34" s="358"/>
      <c r="O34" s="358"/>
    </row>
    <row r="42" spans="14:15" x14ac:dyDescent="0.3">
      <c r="N42" s="25"/>
    </row>
  </sheetData>
  <sheetProtection algorithmName="SHA-512" hashValue="wh/KFueNHQmOj6yaNwvCfXm8H5UCArFNJDtw0RulFkeB9vXc+BdHem73YELZ3XJWU/MmIaWkDHPZKabhNE1KtA==" saltValue="Ur/pwM7z28c6ND4nW/jbXg==" spinCount="100000" sheet="1" objects="1" scenarios="1"/>
  <mergeCells count="4">
    <mergeCell ref="N24:O34"/>
    <mergeCell ref="B20:E20"/>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opLeftCell="A6" zoomScale="94" zoomScaleNormal="94" workbookViewId="0">
      <selection activeCell="A3" sqref="A3:D3"/>
    </sheetView>
  </sheetViews>
  <sheetFormatPr defaultColWidth="8.77734375" defaultRowHeight="13.8" x14ac:dyDescent="0.25"/>
  <cols>
    <col min="1" max="1" width="40.77734375" style="73" customWidth="1"/>
    <col min="2" max="4" width="20.77734375" style="24" customWidth="1"/>
    <col min="5" max="16384" width="8.77734375" style="24"/>
  </cols>
  <sheetData>
    <row r="1" spans="1:4" x14ac:dyDescent="0.25">
      <c r="A1" s="44" t="s">
        <v>0</v>
      </c>
      <c r="B1" s="39" t="str">
        <f>'A-Contracts-Partnerships Matrix'!B1</f>
        <v>INDIANA</v>
      </c>
      <c r="C1" s="40" t="s">
        <v>2</v>
      </c>
      <c r="D1" s="56" t="str">
        <f>'A-Contracts-Partnerships Matrix'!J1</f>
        <v>FY2025</v>
      </c>
    </row>
    <row r="2" spans="1:4" ht="16.2" thickBot="1" x14ac:dyDescent="0.35">
      <c r="A2" s="322" t="s">
        <v>42</v>
      </c>
      <c r="B2" s="309"/>
      <c r="C2" s="309"/>
      <c r="D2" s="323"/>
    </row>
    <row r="3" spans="1:4" ht="19.2" customHeight="1" thickBot="1" x14ac:dyDescent="0.35">
      <c r="A3" s="338" t="s">
        <v>43</v>
      </c>
      <c r="B3" s="339"/>
      <c r="C3" s="339"/>
      <c r="D3" s="340"/>
    </row>
    <row r="4" spans="1:4" x14ac:dyDescent="0.25">
      <c r="A4" s="128" t="s">
        <v>44</v>
      </c>
      <c r="B4" s="129" t="s">
        <v>45</v>
      </c>
      <c r="C4" s="129" t="s">
        <v>46</v>
      </c>
      <c r="D4" s="130" t="s">
        <v>41</v>
      </c>
    </row>
    <row r="5" spans="1:4" x14ac:dyDescent="0.25">
      <c r="A5" s="131" t="s">
        <v>47</v>
      </c>
      <c r="B5" s="132"/>
      <c r="C5" s="132"/>
      <c r="D5" s="133"/>
    </row>
    <row r="6" spans="1:4" x14ac:dyDescent="0.25">
      <c r="A6" s="134" t="s">
        <v>48</v>
      </c>
      <c r="B6" s="135">
        <v>60295.41</v>
      </c>
      <c r="C6" s="135">
        <v>60295.41</v>
      </c>
      <c r="D6" s="136">
        <f>SUM(B6:C6)</f>
        <v>120590.82</v>
      </c>
    </row>
    <row r="7" spans="1:4" ht="55.2" x14ac:dyDescent="0.25">
      <c r="A7" s="134" t="s">
        <v>49</v>
      </c>
      <c r="B7" s="137"/>
      <c r="C7" s="137"/>
      <c r="D7" s="138"/>
    </row>
    <row r="8" spans="1:4" x14ac:dyDescent="0.25">
      <c r="A8" s="139"/>
      <c r="B8" s="140">
        <f>ROUND(SUM(B6*$A$8),0)</f>
        <v>0</v>
      </c>
      <c r="C8" s="140">
        <f>ROUND(SUM(C6*$A$8),0)</f>
        <v>0</v>
      </c>
      <c r="D8" s="136">
        <f>ROUND(SUM(B8:C8),0)</f>
        <v>0</v>
      </c>
    </row>
    <row r="9" spans="1:4" x14ac:dyDescent="0.25">
      <c r="A9" s="141" t="s">
        <v>50</v>
      </c>
      <c r="B9" s="135">
        <v>23693.514999999999</v>
      </c>
      <c r="C9" s="135">
        <v>23693.52</v>
      </c>
      <c r="D9" s="136">
        <f>ROUND(SUM(B9:C9),0)</f>
        <v>47387</v>
      </c>
    </row>
    <row r="10" spans="1:4" x14ac:dyDescent="0.25">
      <c r="A10" s="142" t="s">
        <v>51</v>
      </c>
      <c r="B10" s="135"/>
      <c r="C10" s="135"/>
      <c r="D10" s="136">
        <f t="shared" ref="D10:D15" si="0">SUM(B10:C10)</f>
        <v>0</v>
      </c>
    </row>
    <row r="11" spans="1:4" x14ac:dyDescent="0.25">
      <c r="A11" s="142" t="s">
        <v>52</v>
      </c>
      <c r="B11" s="135"/>
      <c r="C11" s="135"/>
      <c r="D11" s="136">
        <f t="shared" si="0"/>
        <v>0</v>
      </c>
    </row>
    <row r="12" spans="1:4" x14ac:dyDescent="0.25">
      <c r="A12" s="142" t="s">
        <v>53</v>
      </c>
      <c r="B12" s="135">
        <v>0</v>
      </c>
      <c r="C12" s="135"/>
      <c r="D12" s="136">
        <f t="shared" si="0"/>
        <v>0</v>
      </c>
    </row>
    <row r="13" spans="1:4" x14ac:dyDescent="0.25">
      <c r="A13" s="142" t="s">
        <v>54</v>
      </c>
      <c r="B13" s="135">
        <v>0</v>
      </c>
      <c r="C13" s="135"/>
      <c r="D13" s="136">
        <f t="shared" si="0"/>
        <v>0</v>
      </c>
    </row>
    <row r="14" spans="1:4" x14ac:dyDescent="0.25">
      <c r="A14" s="142" t="s">
        <v>55</v>
      </c>
      <c r="B14" s="135"/>
      <c r="C14" s="135"/>
      <c r="D14" s="136">
        <f t="shared" si="0"/>
        <v>0</v>
      </c>
    </row>
    <row r="15" spans="1:4" x14ac:dyDescent="0.25">
      <c r="A15" s="143" t="s">
        <v>56</v>
      </c>
      <c r="B15" s="140">
        <f>SUM(B6:B14)</f>
        <v>83988.925000000003</v>
      </c>
      <c r="C15" s="140">
        <f>SUM(C6:C14)</f>
        <v>83988.930000000008</v>
      </c>
      <c r="D15" s="136">
        <f t="shared" si="0"/>
        <v>167977.85500000001</v>
      </c>
    </row>
    <row r="16" spans="1:4" ht="41.4" x14ac:dyDescent="0.25">
      <c r="A16" s="144" t="s">
        <v>57</v>
      </c>
      <c r="B16" s="140">
        <f>SUM('A-Contracts-Partnerships Matrix'!O109+'A-Contracts-Partnerships Matrix'!Q109)</f>
        <v>1681067.6099999999</v>
      </c>
      <c r="C16" s="140">
        <f>SUM('A-Contracts-Partnerships Matrix'!N109+'A-Contracts-Partnerships Matrix'!P109)+'A-Contracts-Partnerships Matrix'!D109</f>
        <v>3127108.61</v>
      </c>
      <c r="D16" s="136">
        <f>SUM(B16:C16)</f>
        <v>4808176.22</v>
      </c>
    </row>
    <row r="17" spans="1:4" ht="41.4" x14ac:dyDescent="0.25">
      <c r="A17" s="144" t="s">
        <v>58</v>
      </c>
      <c r="B17" s="140">
        <f>SUM('D- Optional-County Adm Budget'!E117)/2</f>
        <v>0</v>
      </c>
      <c r="C17" s="140">
        <f>SUM('D- Optional-County Adm Budget'!E117)/2+'D- Optional-County Adm Budget'!D117</f>
        <v>0</v>
      </c>
      <c r="D17" s="136">
        <f>SUM(B17:C17)</f>
        <v>0</v>
      </c>
    </row>
    <row r="18" spans="1:4" ht="63.75" customHeight="1" x14ac:dyDescent="0.25">
      <c r="A18" s="134" t="s">
        <v>59</v>
      </c>
      <c r="B18" s="135"/>
      <c r="C18" s="135"/>
      <c r="D18" s="136">
        <f>SUM(B18:C18)</f>
        <v>0</v>
      </c>
    </row>
    <row r="19" spans="1:4" x14ac:dyDescent="0.25">
      <c r="A19" s="144" t="s">
        <v>60</v>
      </c>
      <c r="B19" s="140">
        <f>SUM(B15:B18)</f>
        <v>1765056.5349999999</v>
      </c>
      <c r="C19" s="140">
        <f>SUM(C15:C18)</f>
        <v>3211097.54</v>
      </c>
      <c r="D19" s="136">
        <f>SUM(B19:C19)</f>
        <v>4976154.0750000002</v>
      </c>
    </row>
    <row r="20" spans="1:4" x14ac:dyDescent="0.25">
      <c r="A20" s="145"/>
      <c r="B20" s="132"/>
      <c r="C20" s="132"/>
      <c r="D20" s="133"/>
    </row>
    <row r="21" spans="1:4" ht="55.2" x14ac:dyDescent="0.25">
      <c r="A21" s="131" t="s">
        <v>61</v>
      </c>
      <c r="B21" s="132"/>
      <c r="C21" s="132"/>
      <c r="D21" s="133"/>
    </row>
    <row r="22" spans="1:4" ht="27.6" x14ac:dyDescent="0.25">
      <c r="A22" s="145" t="s">
        <v>62</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7.6" x14ac:dyDescent="0.25">
      <c r="A25" s="139" t="s">
        <v>63</v>
      </c>
      <c r="B25" s="135">
        <v>741322.83</v>
      </c>
      <c r="C25" s="135">
        <v>741322.83</v>
      </c>
      <c r="D25" s="136">
        <f t="shared" ref="D25:D26" si="1">SUM(B25:C25)</f>
        <v>1482645.66</v>
      </c>
    </row>
    <row r="26" spans="1:4" ht="41.4" x14ac:dyDescent="0.25">
      <c r="A26" s="139" t="s">
        <v>64</v>
      </c>
      <c r="B26" s="135"/>
      <c r="C26" s="135"/>
      <c r="D26" s="136">
        <f t="shared" si="1"/>
        <v>0</v>
      </c>
    </row>
    <row r="27" spans="1:4" ht="27.6" x14ac:dyDescent="0.25">
      <c r="A27" s="139" t="s">
        <v>65</v>
      </c>
      <c r="B27" s="147">
        <f>SUM(B25:B26)</f>
        <v>741322.83</v>
      </c>
      <c r="C27" s="147">
        <f>SUM(C25:C26)</f>
        <v>741322.83</v>
      </c>
      <c r="D27" s="136">
        <f>SUM(B27:C27)</f>
        <v>1482645.66</v>
      </c>
    </row>
    <row r="28" spans="1:4" x14ac:dyDescent="0.25">
      <c r="A28" s="145"/>
      <c r="B28" s="132"/>
      <c r="C28" s="132"/>
      <c r="D28" s="133"/>
    </row>
    <row r="29" spans="1:4" x14ac:dyDescent="0.25">
      <c r="A29" s="131" t="s">
        <v>66</v>
      </c>
      <c r="B29" s="132"/>
      <c r="C29" s="132"/>
      <c r="D29" s="133"/>
    </row>
    <row r="30" spans="1:4" x14ac:dyDescent="0.25">
      <c r="A30" s="134" t="s">
        <v>67</v>
      </c>
      <c r="B30" s="135">
        <v>0</v>
      </c>
      <c r="C30" s="135">
        <v>0</v>
      </c>
      <c r="D30" s="136">
        <f>SUM(B30:C30)</f>
        <v>0</v>
      </c>
    </row>
    <row r="31" spans="1:4" x14ac:dyDescent="0.25">
      <c r="A31" s="145"/>
      <c r="B31" s="132"/>
      <c r="C31" s="132"/>
      <c r="D31" s="133"/>
    </row>
    <row r="32" spans="1:4" x14ac:dyDescent="0.25">
      <c r="A32" s="148" t="s">
        <v>68</v>
      </c>
      <c r="B32" s="140">
        <f>SUM(B19+B23+B27+B30)</f>
        <v>2506379.3649999998</v>
      </c>
      <c r="C32" s="140">
        <f t="shared" ref="C32:D32" si="2">SUM(C19+C23+C27+C30)</f>
        <v>3952420.37</v>
      </c>
      <c r="D32" s="140">
        <f t="shared" si="2"/>
        <v>6458799.7350000003</v>
      </c>
    </row>
    <row r="33" spans="1:13" x14ac:dyDescent="0.25">
      <c r="A33" s="145"/>
      <c r="B33" s="132"/>
      <c r="C33" s="132"/>
      <c r="D33" s="133"/>
    </row>
    <row r="34" spans="1:13" x14ac:dyDescent="0.25">
      <c r="A34" s="131" t="s">
        <v>69</v>
      </c>
      <c r="B34" s="132"/>
      <c r="C34" s="132"/>
      <c r="D34" s="133"/>
    </row>
    <row r="35" spans="1:13" ht="41.4" x14ac:dyDescent="0.25">
      <c r="A35" s="134" t="s">
        <v>70</v>
      </c>
      <c r="B35" s="135">
        <v>192885</v>
      </c>
      <c r="C35" s="135">
        <v>192885</v>
      </c>
      <c r="D35" s="136">
        <f>SUM(B35:C35)</f>
        <v>385770</v>
      </c>
      <c r="E35" s="73"/>
      <c r="F35" s="73"/>
      <c r="G35" s="73"/>
      <c r="H35" s="73"/>
      <c r="I35" s="73"/>
      <c r="J35" s="73"/>
      <c r="K35" s="73"/>
      <c r="L35" s="73"/>
      <c r="M35" s="73"/>
    </row>
    <row r="36" spans="1:13" ht="41.4" x14ac:dyDescent="0.25">
      <c r="A36" s="134" t="s">
        <v>71</v>
      </c>
      <c r="B36" s="135">
        <v>954950</v>
      </c>
      <c r="C36" s="135">
        <v>954950</v>
      </c>
      <c r="D36" s="136">
        <f>SUM(B36:C36)</f>
        <v>1909900</v>
      </c>
      <c r="E36" s="73"/>
      <c r="F36" s="73"/>
      <c r="G36" s="73"/>
      <c r="H36" s="73"/>
      <c r="I36" s="73"/>
      <c r="J36" s="73"/>
      <c r="K36" s="73"/>
      <c r="L36" s="73"/>
      <c r="M36" s="73"/>
    </row>
    <row r="37" spans="1:13" x14ac:dyDescent="0.25">
      <c r="A37" s="134" t="s">
        <v>72</v>
      </c>
      <c r="B37" s="135">
        <v>0</v>
      </c>
      <c r="C37" s="149"/>
      <c r="D37" s="136">
        <f>SUM(B37:C37)</f>
        <v>0</v>
      </c>
    </row>
    <row r="38" spans="1:13" x14ac:dyDescent="0.25">
      <c r="A38" s="144" t="s">
        <v>73</v>
      </c>
      <c r="B38" s="140">
        <f>SUM(B35:B37)</f>
        <v>1147835</v>
      </c>
      <c r="C38" s="140">
        <f>SUM(C35:C36)</f>
        <v>1147835</v>
      </c>
      <c r="D38" s="136">
        <f>SUM(B38:C38)</f>
        <v>2295670</v>
      </c>
    </row>
    <row r="39" spans="1:13" x14ac:dyDescent="0.25">
      <c r="A39" s="145"/>
      <c r="B39" s="132"/>
      <c r="C39" s="132"/>
      <c r="D39" s="133"/>
    </row>
    <row r="40" spans="1:13" ht="14.4" thickBot="1" x14ac:dyDescent="0.3">
      <c r="A40" s="150" t="s">
        <v>74</v>
      </c>
      <c r="B40" s="151">
        <f>SUM(B32+B38)</f>
        <v>3654214.3649999998</v>
      </c>
      <c r="C40" s="151">
        <f>SUM(C32+C38)</f>
        <v>5100255.37</v>
      </c>
      <c r="D40" s="152">
        <f>SUM(B40:C40)</f>
        <v>8754469.7349999994</v>
      </c>
    </row>
  </sheetData>
  <sheetProtection algorithmName="SHA-512" hashValue="8KjHDIK63xyW3r2T6UWCXFWyPPnlqxVWm9WVwQ576LznkXNEWPjz7xyVneuFu4ulhN8Yd/EgMDKsj8U+C1MoKA==" saltValue="jFiU/Qyd96TGC4/HqN+L9w==" spinCount="100000" sheet="1" objects="1" scenarios="1"/>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C15" sqref="C15"/>
    </sheetView>
  </sheetViews>
  <sheetFormatPr defaultColWidth="8.77734375" defaultRowHeight="13.8" x14ac:dyDescent="0.25"/>
  <cols>
    <col min="1" max="1" width="28.44140625" style="24" customWidth="1"/>
    <col min="2" max="2" width="14.44140625" style="107" customWidth="1"/>
    <col min="3" max="3" width="23.5546875" style="24" customWidth="1"/>
    <col min="4" max="7" width="16.77734375" style="24" customWidth="1"/>
    <col min="8" max="16384" width="8.77734375" style="24"/>
  </cols>
  <sheetData>
    <row r="1" spans="1:16" ht="27.6" x14ac:dyDescent="0.25">
      <c r="A1" s="44" t="s">
        <v>0</v>
      </c>
      <c r="B1" s="312" t="str">
        <f>'A-Contracts-Partnerships Matrix'!B1</f>
        <v>INDIANA</v>
      </c>
      <c r="C1" s="39"/>
      <c r="D1" s="39"/>
      <c r="E1" s="39"/>
      <c r="F1" s="40" t="s">
        <v>2</v>
      </c>
      <c r="G1" s="56" t="str">
        <f>'A-Contracts-Partnerships Matrix'!J1</f>
        <v>FY2025</v>
      </c>
    </row>
    <row r="2" spans="1:16" ht="16.2" thickBot="1" x14ac:dyDescent="0.35">
      <c r="A2" s="315" t="s">
        <v>98</v>
      </c>
      <c r="B2" s="316"/>
      <c r="C2" s="316"/>
      <c r="D2" s="316"/>
      <c r="E2" s="316"/>
      <c r="F2" s="316"/>
      <c r="G2" s="321"/>
    </row>
    <row r="3" spans="1:16" ht="13.8" customHeight="1" x14ac:dyDescent="0.25">
      <c r="A3" s="337" t="s">
        <v>99</v>
      </c>
      <c r="B3" s="324"/>
      <c r="C3" s="324"/>
      <c r="D3" s="324"/>
      <c r="E3" s="324"/>
      <c r="F3" s="324"/>
      <c r="G3" s="325"/>
    </row>
    <row r="4" spans="1:16" ht="19.8" customHeight="1" x14ac:dyDescent="0.3">
      <c r="A4" s="336" t="s">
        <v>100</v>
      </c>
      <c r="B4" s="304"/>
      <c r="C4" s="304"/>
      <c r="D4" s="304"/>
      <c r="E4" s="304"/>
      <c r="F4" s="304"/>
      <c r="G4" s="305"/>
    </row>
    <row r="5" spans="1:16" ht="18" customHeight="1" thickBot="1" x14ac:dyDescent="0.35">
      <c r="A5" s="303"/>
      <c r="B5" s="304"/>
      <c r="C5" s="304"/>
      <c r="D5" s="304"/>
      <c r="E5" s="304"/>
      <c r="F5" s="304"/>
      <c r="G5" s="305"/>
    </row>
    <row r="6" spans="1:16" ht="18" customHeight="1" thickBot="1" x14ac:dyDescent="0.35">
      <c r="A6" s="248" t="s">
        <v>31</v>
      </c>
      <c r="B6" s="157">
        <f>COUNT(B9:B107)+COUNTIF(B9:B107,"X")</f>
        <v>0</v>
      </c>
      <c r="C6" s="186"/>
      <c r="D6" s="249">
        <f t="shared" ref="D6:F6" si="0">SUM(D9:D107)</f>
        <v>0</v>
      </c>
      <c r="E6" s="249">
        <f t="shared" si="0"/>
        <v>0</v>
      </c>
      <c r="F6" s="249">
        <f t="shared" si="0"/>
        <v>0</v>
      </c>
      <c r="G6" s="249">
        <f>SUM(G9:G107)</f>
        <v>0</v>
      </c>
    </row>
    <row r="7" spans="1:16" ht="18" customHeight="1" x14ac:dyDescent="0.3">
      <c r="A7" s="303"/>
      <c r="B7" s="304"/>
      <c r="C7" s="304"/>
      <c r="D7" s="304"/>
      <c r="E7" s="304"/>
      <c r="F7" s="304"/>
      <c r="G7" s="305"/>
    </row>
    <row r="8" spans="1:16" ht="55.2" x14ac:dyDescent="0.25">
      <c r="A8" s="153" t="s">
        <v>101</v>
      </c>
      <c r="B8" s="154" t="s">
        <v>102</v>
      </c>
      <c r="C8" s="154" t="s">
        <v>103</v>
      </c>
      <c r="D8" s="154" t="s">
        <v>104</v>
      </c>
      <c r="E8" s="154" t="s">
        <v>105</v>
      </c>
      <c r="F8" s="154" t="s">
        <v>106</v>
      </c>
      <c r="G8" s="155" t="s">
        <v>107</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31</v>
      </c>
      <c r="B117" s="157">
        <f>COUNT(B9:B107)+COUNTIF(B9:B107,"X")</f>
        <v>0</v>
      </c>
      <c r="C117" s="158"/>
      <c r="D117" s="159">
        <f>SUM(D9:D107)</f>
        <v>0</v>
      </c>
      <c r="E117" s="159">
        <f>SUM(E9:E107)</f>
        <v>0</v>
      </c>
      <c r="F117" s="159">
        <f>SUM(F9:F107)</f>
        <v>0</v>
      </c>
      <c r="G117" s="159">
        <f>SUM(G9:G107)</f>
        <v>0</v>
      </c>
    </row>
  </sheetData>
  <sheetProtection algorithmName="SHA-512" hashValue="zMJHApsOanzZ/UWSp3EuIYhHYkUsjqlK4CWGWw+gi1HF4aYMeGIosHam1WuK8+LOC3eGn9qWqEBby6HSTDHxCw==" saltValue="qEj0xlBeCWxUQLOlxG9nKw==" spinCount="100000" sheet="1" objects="1" scenarios="1"/>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F13" sqref="F13"/>
    </sheetView>
  </sheetViews>
  <sheetFormatPr defaultColWidth="8.77734375" defaultRowHeight="13.8" x14ac:dyDescent="0.25"/>
  <cols>
    <col min="1" max="1" width="25.77734375" style="24" customWidth="1"/>
    <col min="2" max="2" width="9.44140625" style="24" customWidth="1"/>
    <col min="3" max="14" width="7.77734375" style="24" customWidth="1"/>
    <col min="15" max="15" width="8.5546875" style="24" customWidth="1"/>
    <col min="16" max="17" width="9.21875" style="24" customWidth="1"/>
    <col min="18" max="25" width="8.5546875" style="24" customWidth="1"/>
    <col min="26" max="26" width="12.21875" style="24" customWidth="1"/>
    <col min="27" max="16384" width="8.77734375" style="24"/>
  </cols>
  <sheetData>
    <row r="1" spans="1:26" ht="27.6" x14ac:dyDescent="0.25">
      <c r="A1" s="44" t="s">
        <v>0</v>
      </c>
      <c r="B1" s="364" t="str">
        <f>'A-Contracts-Partnerships Matrix'!B1</f>
        <v>INDIANA</v>
      </c>
      <c r="C1" s="364"/>
      <c r="D1" s="39"/>
      <c r="E1" s="39"/>
      <c r="F1" s="39"/>
      <c r="G1" s="39"/>
      <c r="H1" s="39"/>
      <c r="I1" s="39"/>
      <c r="J1" s="39"/>
      <c r="K1" s="39"/>
      <c r="L1" s="39"/>
      <c r="M1" s="39"/>
      <c r="N1" s="39"/>
      <c r="O1" s="39"/>
      <c r="P1" s="39"/>
      <c r="Q1" s="39"/>
      <c r="R1" s="39"/>
      <c r="S1" s="39"/>
      <c r="T1" s="39"/>
      <c r="U1" s="39"/>
      <c r="V1" s="39"/>
      <c r="W1" s="39"/>
      <c r="X1" s="365" t="s">
        <v>2</v>
      </c>
      <c r="Y1" s="365"/>
      <c r="Z1" s="56" t="str">
        <f>'A-Contracts-Partnerships Matrix'!J1</f>
        <v>FY2025</v>
      </c>
    </row>
    <row r="2" spans="1:26" ht="15.6" x14ac:dyDescent="0.3">
      <c r="A2" s="315" t="s">
        <v>108</v>
      </c>
      <c r="B2" s="316"/>
      <c r="C2" s="316"/>
      <c r="D2" s="316"/>
      <c r="E2" s="316"/>
      <c r="F2" s="316"/>
      <c r="G2" s="316"/>
      <c r="H2" s="316"/>
      <c r="I2" s="316"/>
      <c r="J2" s="316"/>
      <c r="K2" s="316"/>
      <c r="L2" s="316"/>
      <c r="M2" s="316"/>
      <c r="N2" s="316"/>
      <c r="O2" s="316"/>
      <c r="P2" s="316"/>
      <c r="Q2" s="316"/>
      <c r="R2" s="316"/>
      <c r="S2" s="316"/>
      <c r="T2" s="316"/>
      <c r="U2" s="316"/>
      <c r="V2" s="316"/>
      <c r="W2" s="316"/>
      <c r="X2" s="316"/>
      <c r="Y2" s="316"/>
      <c r="Z2" s="321"/>
    </row>
    <row r="3" spans="1:26" ht="18" customHeight="1" x14ac:dyDescent="0.3">
      <c r="A3" s="331" t="s">
        <v>109</v>
      </c>
      <c r="B3" s="334"/>
      <c r="C3" s="334"/>
      <c r="D3" s="334"/>
      <c r="E3" s="334"/>
      <c r="F3" s="334"/>
      <c r="G3" s="334"/>
      <c r="H3" s="334"/>
      <c r="I3" s="334"/>
      <c r="J3" s="334"/>
      <c r="K3" s="334"/>
      <c r="L3" s="334"/>
      <c r="M3" s="334"/>
      <c r="N3" s="334"/>
      <c r="O3" s="334"/>
      <c r="P3" s="334"/>
      <c r="Q3" s="334"/>
      <c r="R3" s="334"/>
      <c r="S3" s="334"/>
      <c r="T3" s="334"/>
      <c r="U3" s="334"/>
      <c r="V3" s="334"/>
      <c r="W3" s="334"/>
      <c r="X3" s="334"/>
      <c r="Y3" s="334"/>
      <c r="Z3" s="335"/>
    </row>
    <row r="4" spans="1:26" ht="18" customHeight="1" x14ac:dyDescent="0.3">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55" customHeight="1" x14ac:dyDescent="0.3">
      <c r="A5" s="194" t="s">
        <v>110</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5" customHeight="1" x14ac:dyDescent="0.25">
      <c r="A7" s="160"/>
      <c r="B7" s="366" t="s">
        <v>111</v>
      </c>
      <c r="C7" s="366"/>
      <c r="D7" s="366"/>
      <c r="E7" s="366"/>
      <c r="F7" s="366"/>
      <c r="G7" s="366"/>
      <c r="H7" s="366"/>
      <c r="I7" s="366"/>
      <c r="J7" s="366"/>
      <c r="K7" s="366"/>
      <c r="L7" s="366"/>
      <c r="M7" s="366"/>
      <c r="N7" s="366"/>
      <c r="O7" s="366"/>
      <c r="P7" s="366"/>
      <c r="Q7" s="366"/>
      <c r="R7" s="366"/>
      <c r="S7" s="366"/>
      <c r="T7" s="366"/>
      <c r="U7" s="366"/>
      <c r="V7" s="366"/>
      <c r="W7" s="366"/>
      <c r="X7" s="366"/>
      <c r="Y7" s="366"/>
      <c r="Z7" s="154" t="s">
        <v>112</v>
      </c>
    </row>
    <row r="8" spans="1:26" ht="27.6" x14ac:dyDescent="0.25">
      <c r="A8" s="161" t="s">
        <v>101</v>
      </c>
      <c r="B8" s="129" t="s">
        <v>113</v>
      </c>
      <c r="C8" s="129" t="s">
        <v>114</v>
      </c>
      <c r="D8" s="129" t="s">
        <v>115</v>
      </c>
      <c r="E8" s="129" t="s">
        <v>116</v>
      </c>
      <c r="F8" s="129" t="s">
        <v>117</v>
      </c>
      <c r="G8" s="129" t="s">
        <v>118</v>
      </c>
      <c r="H8" s="129" t="s">
        <v>119</v>
      </c>
      <c r="I8" s="129" t="s">
        <v>120</v>
      </c>
      <c r="J8" s="129" t="s">
        <v>121</v>
      </c>
      <c r="K8" s="129" t="s">
        <v>122</v>
      </c>
      <c r="L8" s="129" t="s">
        <v>123</v>
      </c>
      <c r="M8" s="129" t="s">
        <v>124</v>
      </c>
      <c r="N8" s="129" t="s">
        <v>125</v>
      </c>
      <c r="O8" s="162" t="s">
        <v>126</v>
      </c>
      <c r="P8" s="162" t="s">
        <v>127</v>
      </c>
      <c r="Q8" s="162" t="s">
        <v>128</v>
      </c>
      <c r="R8" s="162" t="s">
        <v>129</v>
      </c>
      <c r="S8" s="162" t="s">
        <v>130</v>
      </c>
      <c r="T8" s="162" t="s">
        <v>131</v>
      </c>
      <c r="U8" s="162" t="s">
        <v>132</v>
      </c>
      <c r="V8" s="162" t="s">
        <v>133</v>
      </c>
      <c r="W8" s="162" t="s">
        <v>134</v>
      </c>
      <c r="X8" s="163" t="s">
        <v>135</v>
      </c>
      <c r="Y8" s="163" t="s">
        <v>136</v>
      </c>
      <c r="Z8" s="164" t="s">
        <v>137</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138</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an3j0NM8zMjkwWHV3wObE2T757Wpq5sS1ZD97rBdEbTt4e6Qzqr7jzM5tZhNy7KwuGqT97n7u8bnn/LDWkjrtQ==" saltValue="mB8MHRh0hCnAotFfgFzlcQ==" spinCount="100000" sheet="1" objects="1" scenarios="1"/>
  <mergeCells count="3">
    <mergeCell ref="B1:C1"/>
    <mergeCell ref="X1:Y1"/>
    <mergeCell ref="B7:Y7"/>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A3" sqref="A3:E3"/>
    </sheetView>
  </sheetViews>
  <sheetFormatPr defaultColWidth="9.21875" defaultRowHeight="13.8" x14ac:dyDescent="0.25"/>
  <cols>
    <col min="1" max="1" width="34.21875" style="73" customWidth="1"/>
    <col min="2" max="2" width="37.5546875" style="73" customWidth="1"/>
    <col min="3" max="3" width="15.5546875" style="73" customWidth="1"/>
    <col min="4" max="4" width="21.21875" style="73" customWidth="1"/>
    <col min="5" max="5" width="19.44140625" style="24" customWidth="1"/>
    <col min="6" max="6" width="12" style="24" customWidth="1"/>
    <col min="7" max="7" width="11.21875" style="24" customWidth="1"/>
    <col min="8" max="8" width="10.88671875" style="24" customWidth="1"/>
    <col min="9" max="9" width="10.44140625" style="24" customWidth="1"/>
    <col min="10" max="16384" width="9.21875" style="24"/>
  </cols>
  <sheetData>
    <row r="1" spans="1:5" ht="27.6" x14ac:dyDescent="0.25">
      <c r="A1" s="44" t="s">
        <v>0</v>
      </c>
      <c r="B1" s="39" t="str">
        <f>'A-Contracts-Partnerships Matrix'!B1</f>
        <v>INDIANA</v>
      </c>
      <c r="C1" s="40" t="s">
        <v>2</v>
      </c>
      <c r="D1" s="40"/>
      <c r="E1" s="56" t="str">
        <f>'A-Contracts-Partnerships Matrix'!J1</f>
        <v>FY2025</v>
      </c>
    </row>
    <row r="2" spans="1:5" ht="15.6" x14ac:dyDescent="0.3">
      <c r="A2" s="322" t="s">
        <v>139</v>
      </c>
      <c r="B2" s="309"/>
      <c r="C2" s="309"/>
      <c r="D2" s="309"/>
      <c r="E2" s="323"/>
    </row>
    <row r="3" spans="1:5" ht="18" customHeight="1" x14ac:dyDescent="0.3">
      <c r="A3" s="331" t="s">
        <v>140</v>
      </c>
      <c r="B3" s="332"/>
      <c r="C3" s="332"/>
      <c r="D3" s="332"/>
      <c r="E3" s="333"/>
    </row>
    <row r="4" spans="1:5" ht="14.4" x14ac:dyDescent="0.3">
      <c r="A4" s="69"/>
      <c r="B4" s="70" t="s">
        <v>141</v>
      </c>
      <c r="C4" s="270" t="s">
        <v>142</v>
      </c>
      <c r="D4" s="270" t="s">
        <v>143</v>
      </c>
      <c r="E4" s="71" t="s">
        <v>144</v>
      </c>
    </row>
    <row r="5" spans="1:5" x14ac:dyDescent="0.25">
      <c r="A5" s="326" t="s">
        <v>145</v>
      </c>
      <c r="B5" s="327"/>
      <c r="C5" s="327"/>
      <c r="D5" s="327"/>
      <c r="E5" s="328"/>
    </row>
    <row r="6" spans="1:5" ht="82.8" x14ac:dyDescent="0.25">
      <c r="A6" s="72" t="s">
        <v>146</v>
      </c>
      <c r="B6" s="73" t="s">
        <v>147</v>
      </c>
      <c r="C6" s="267">
        <v>100000</v>
      </c>
      <c r="D6" s="267"/>
      <c r="E6" s="272">
        <v>95000</v>
      </c>
    </row>
    <row r="7" spans="1:5" s="79" customFormat="1" ht="151.80000000000001" x14ac:dyDescent="0.25">
      <c r="A7" s="72" t="s">
        <v>148</v>
      </c>
      <c r="B7" s="73" t="s">
        <v>149</v>
      </c>
      <c r="C7" s="268" t="s">
        <v>150</v>
      </c>
      <c r="D7" s="279" t="s">
        <v>344</v>
      </c>
      <c r="E7" s="272">
        <v>95000</v>
      </c>
    </row>
    <row r="8" spans="1:5" s="79" customFormat="1" ht="27.6" x14ac:dyDescent="0.25">
      <c r="A8" s="72"/>
      <c r="B8" s="73"/>
      <c r="C8" s="268" t="s">
        <v>151</v>
      </c>
      <c r="D8" s="279"/>
      <c r="E8" s="272"/>
    </row>
    <row r="9" spans="1:5" s="79" customFormat="1" ht="27.6" x14ac:dyDescent="0.25">
      <c r="A9" s="72"/>
      <c r="B9" s="73"/>
      <c r="C9" s="268" t="s">
        <v>152</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153</v>
      </c>
      <c r="B12" s="73" t="s">
        <v>154</v>
      </c>
      <c r="C12" s="268" t="s">
        <v>155</v>
      </c>
      <c r="D12" s="268"/>
      <c r="E12" s="273">
        <f>SUM(E7:E11)</f>
        <v>95000</v>
      </c>
    </row>
    <row r="13" spans="1:5" ht="27.6" x14ac:dyDescent="0.25">
      <c r="A13" s="72" t="s">
        <v>156</v>
      </c>
      <c r="C13" s="269">
        <v>1</v>
      </c>
      <c r="D13" s="269"/>
      <c r="E13" s="74">
        <f>E12/E6</f>
        <v>1</v>
      </c>
    </row>
    <row r="14" spans="1:5" x14ac:dyDescent="0.25">
      <c r="A14" s="326" t="s">
        <v>157</v>
      </c>
      <c r="B14" s="327"/>
      <c r="C14" s="327"/>
      <c r="D14" s="327"/>
      <c r="E14" s="328"/>
    </row>
    <row r="15" spans="1:5" x14ac:dyDescent="0.25">
      <c r="A15" s="72" t="s">
        <v>158</v>
      </c>
      <c r="C15" s="267">
        <v>6500</v>
      </c>
      <c r="D15" s="267"/>
      <c r="E15" s="272">
        <v>15949</v>
      </c>
    </row>
    <row r="16" spans="1:5" ht="27.6" x14ac:dyDescent="0.25">
      <c r="A16" s="72" t="s">
        <v>159</v>
      </c>
      <c r="C16" s="268">
        <v>0</v>
      </c>
      <c r="D16" s="268"/>
      <c r="E16" s="272"/>
    </row>
    <row r="17" spans="1:5" ht="41.4" x14ac:dyDescent="0.25">
      <c r="A17" s="72" t="s">
        <v>160</v>
      </c>
      <c r="C17" s="268">
        <v>250</v>
      </c>
      <c r="D17" s="268"/>
      <c r="E17" s="272">
        <v>14604</v>
      </c>
    </row>
    <row r="18" spans="1:5" ht="27.6" x14ac:dyDescent="0.25">
      <c r="A18" s="72" t="s">
        <v>161</v>
      </c>
      <c r="C18" s="267">
        <v>6250</v>
      </c>
      <c r="D18" s="267"/>
      <c r="E18" s="273">
        <f>E15-(E16+E17)</f>
        <v>1345</v>
      </c>
    </row>
    <row r="19" spans="1:5" x14ac:dyDescent="0.25">
      <c r="A19" s="326" t="s">
        <v>162</v>
      </c>
      <c r="B19" s="327"/>
      <c r="C19" s="327"/>
      <c r="D19" s="327"/>
      <c r="E19" s="328"/>
    </row>
    <row r="20" spans="1:5" ht="27.6" x14ac:dyDescent="0.25">
      <c r="A20" s="72" t="s">
        <v>163</v>
      </c>
      <c r="C20" s="268">
        <v>0</v>
      </c>
      <c r="D20" s="268"/>
      <c r="E20" s="272">
        <v>0</v>
      </c>
    </row>
    <row r="21" spans="1:5" ht="27.6" x14ac:dyDescent="0.25">
      <c r="A21" s="72" t="s">
        <v>164</v>
      </c>
      <c r="C21" s="267">
        <v>2000</v>
      </c>
      <c r="D21" s="267"/>
      <c r="E21" s="272">
        <v>1980</v>
      </c>
    </row>
    <row r="22" spans="1:5" ht="27.6" x14ac:dyDescent="0.25">
      <c r="A22" s="72" t="s">
        <v>165</v>
      </c>
      <c r="C22" s="267">
        <v>2000</v>
      </c>
      <c r="D22" s="267"/>
      <c r="E22" s="273">
        <f>SUM(E20:E21)</f>
        <v>1980</v>
      </c>
    </row>
    <row r="23" spans="1:5" ht="27.6" x14ac:dyDescent="0.25">
      <c r="A23" s="72" t="s">
        <v>166</v>
      </c>
      <c r="B23" s="73" t="s">
        <v>167</v>
      </c>
      <c r="C23" s="268">
        <v>500</v>
      </c>
      <c r="D23" s="268"/>
      <c r="E23" s="272">
        <v>600</v>
      </c>
    </row>
    <row r="24" spans="1:5" s="84" customFormat="1" x14ac:dyDescent="0.25">
      <c r="A24" s="326" t="s">
        <v>168</v>
      </c>
      <c r="B24" s="327"/>
      <c r="C24" s="327"/>
      <c r="D24" s="327"/>
      <c r="E24" s="328"/>
    </row>
    <row r="25" spans="1:5" ht="27.6" x14ac:dyDescent="0.25">
      <c r="A25" s="72" t="s">
        <v>169</v>
      </c>
      <c r="B25" s="73" t="s">
        <v>170</v>
      </c>
      <c r="C25" s="275">
        <v>2000</v>
      </c>
      <c r="D25" s="268"/>
      <c r="E25" s="272">
        <v>1980</v>
      </c>
    </row>
    <row r="26" spans="1:5" ht="28.2" thickBot="1" x14ac:dyDescent="0.3">
      <c r="A26" s="75" t="s">
        <v>171</v>
      </c>
      <c r="B26" s="76"/>
      <c r="C26" s="271">
        <v>1</v>
      </c>
      <c r="D26" s="271"/>
      <c r="E26" s="77">
        <f>E25/E22</f>
        <v>1</v>
      </c>
    </row>
  </sheetData>
  <sheetProtection algorithmName="SHA-512" hashValue="I2VtaASiCP2wNdpoggf2t/vCMDtEqsGHzlLbcBEFmjX5GTw+iSI1/DUeBpQBtK/4abXscoFEawPvyqcm/pZaXw==" saltValue="bMclhmJu90O+tbCTA8KHTg==" spinCount="100000" sheet="1" objects="1" scenarios="1"/>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abSelected="1" zoomScale="98" zoomScaleNormal="98" workbookViewId="0">
      <pane xSplit="1" topLeftCell="B1" activePane="topRight" state="frozen"/>
      <selection pane="topRight" activeCell="C7" sqref="C7"/>
    </sheetView>
  </sheetViews>
  <sheetFormatPr defaultColWidth="8.77734375" defaultRowHeight="13.8" x14ac:dyDescent="0.25"/>
  <cols>
    <col min="1" max="1" width="21.21875" style="73" customWidth="1"/>
    <col min="2" max="10" width="30.77734375" style="73" customWidth="1"/>
    <col min="11" max="12" width="20.77734375" style="73" customWidth="1"/>
    <col min="13" max="18" width="18.77734375" style="73" customWidth="1"/>
    <col min="19" max="19" width="20.77734375" style="73" customWidth="1"/>
    <col min="20" max="20" width="13.21875" style="73" customWidth="1"/>
    <col min="21" max="21" width="11.21875" style="178" customWidth="1"/>
    <col min="22" max="22" width="12" style="179" customWidth="1"/>
    <col min="23" max="23" width="12.5546875" style="180" customWidth="1"/>
    <col min="24" max="25" width="14.44140625" style="179" customWidth="1"/>
    <col min="26" max="26" width="13.21875" style="178" customWidth="1"/>
    <col min="27" max="27" width="19.77734375" style="178" customWidth="1"/>
    <col min="28" max="28" width="25.21875" style="73" customWidth="1"/>
    <col min="29" max="29" width="15.44140625" style="181" customWidth="1"/>
    <col min="30" max="30" width="19.21875" style="181" customWidth="1"/>
    <col min="31" max="31" width="19.77734375" style="24" customWidth="1"/>
    <col min="32" max="32" width="21.77734375" style="298" customWidth="1"/>
    <col min="33" max="16384" width="8.77734375" style="24"/>
  </cols>
  <sheetData>
    <row r="1" spans="1:32" ht="27.6" x14ac:dyDescent="0.25">
      <c r="A1" s="44" t="s">
        <v>0</v>
      </c>
      <c r="B1" s="39" t="str">
        <f>'A-Contracts-Partnerships Matrix'!B1</f>
        <v>INDIANA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5" customHeight="1" x14ac:dyDescent="0.25">
      <c r="A2" s="330" t="s">
        <v>172</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200"/>
    </row>
    <row r="3" spans="1:32" ht="19.2" customHeight="1" x14ac:dyDescent="0.2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200"/>
    </row>
    <row r="4" spans="1:32" ht="14.4" x14ac:dyDescent="0.3">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173</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174</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2" customHeight="1" thickBot="1" x14ac:dyDescent="0.3">
      <c r="A8" s="200"/>
      <c r="S8" s="212" t="s">
        <v>175</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2" customHeight="1" thickBot="1" x14ac:dyDescent="0.3">
      <c r="A9" s="200"/>
      <c r="T9" s="200"/>
      <c r="U9" s="258"/>
      <c r="V9" s="259"/>
      <c r="W9" s="260"/>
      <c r="X9" s="259"/>
      <c r="Y9" s="259"/>
      <c r="Z9" s="258"/>
      <c r="AA9" s="258"/>
      <c r="AB9" s="200"/>
      <c r="AC9" s="258"/>
      <c r="AD9" s="258"/>
      <c r="AE9" s="258"/>
      <c r="AF9" s="300"/>
    </row>
    <row r="10" spans="1:32" ht="19.95" customHeight="1" thickBot="1" x14ac:dyDescent="0.35">
      <c r="A10" s="367" t="s">
        <v>176</v>
      </c>
      <c r="B10" s="368"/>
      <c r="C10" s="368"/>
      <c r="D10" s="368"/>
      <c r="E10" s="368"/>
      <c r="F10" s="368"/>
      <c r="G10" s="368"/>
      <c r="H10" s="368"/>
      <c r="I10" s="368"/>
      <c r="J10" s="368"/>
      <c r="K10" s="368"/>
      <c r="L10" s="368"/>
      <c r="M10" s="368"/>
      <c r="N10" s="368"/>
      <c r="O10" s="368"/>
      <c r="P10" s="368"/>
      <c r="Q10" s="368"/>
      <c r="R10" s="368"/>
      <c r="S10" s="369"/>
      <c r="T10" s="370" t="s">
        <v>177</v>
      </c>
      <c r="U10" s="371"/>
      <c r="V10" s="371"/>
      <c r="W10" s="371"/>
      <c r="X10" s="371"/>
      <c r="Y10" s="371"/>
      <c r="Z10" s="371"/>
      <c r="AA10" s="371"/>
      <c r="AB10" s="371"/>
      <c r="AC10" s="371"/>
      <c r="AD10" s="371"/>
      <c r="AE10" s="371"/>
      <c r="AF10" s="300"/>
    </row>
    <row r="11" spans="1:32" ht="159" customHeight="1" x14ac:dyDescent="0.25">
      <c r="A11" s="253" t="s">
        <v>178</v>
      </c>
      <c r="B11" s="254" t="s">
        <v>179</v>
      </c>
      <c r="C11" s="292" t="s">
        <v>180</v>
      </c>
      <c r="D11" s="292" t="s">
        <v>181</v>
      </c>
      <c r="E11" s="292" t="s">
        <v>182</v>
      </c>
      <c r="F11" s="292" t="s">
        <v>183</v>
      </c>
      <c r="G11" s="292" t="s">
        <v>184</v>
      </c>
      <c r="H11" s="292" t="s">
        <v>185</v>
      </c>
      <c r="I11" s="292" t="s">
        <v>186</v>
      </c>
      <c r="J11" s="292" t="s">
        <v>187</v>
      </c>
      <c r="K11" s="254" t="s">
        <v>188</v>
      </c>
      <c r="L11" s="292" t="s">
        <v>189</v>
      </c>
      <c r="M11" s="254" t="s">
        <v>190</v>
      </c>
      <c r="N11" s="254" t="s">
        <v>191</v>
      </c>
      <c r="O11" s="293" t="s">
        <v>192</v>
      </c>
      <c r="P11" s="293" t="s">
        <v>193</v>
      </c>
      <c r="Q11" s="262" t="s">
        <v>194</v>
      </c>
      <c r="R11" s="255" t="s">
        <v>195</v>
      </c>
      <c r="S11" s="266" t="s">
        <v>196</v>
      </c>
      <c r="T11" s="251" t="s">
        <v>197</v>
      </c>
      <c r="U11" s="216" t="s">
        <v>198</v>
      </c>
      <c r="V11" s="217" t="s">
        <v>199</v>
      </c>
      <c r="W11" s="218" t="s">
        <v>200</v>
      </c>
      <c r="X11" s="217" t="s">
        <v>201</v>
      </c>
      <c r="Y11" s="217" t="s">
        <v>202</v>
      </c>
      <c r="Z11" s="216" t="s">
        <v>203</v>
      </c>
      <c r="AA11" s="216" t="s">
        <v>204</v>
      </c>
      <c r="AB11" s="216" t="s">
        <v>205</v>
      </c>
      <c r="AC11" s="216" t="s">
        <v>206</v>
      </c>
      <c r="AD11" s="216" t="s">
        <v>207</v>
      </c>
      <c r="AE11" s="296" t="s">
        <v>208</v>
      </c>
    </row>
    <row r="12" spans="1:32" x14ac:dyDescent="0.25">
      <c r="A12" s="108"/>
      <c r="B12" s="109"/>
      <c r="C12" s="109"/>
      <c r="D12" s="109"/>
      <c r="E12" s="109"/>
      <c r="F12" s="109"/>
      <c r="G12" s="109"/>
      <c r="H12" s="109"/>
      <c r="I12" s="109"/>
      <c r="J12" s="109"/>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173</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27.6" x14ac:dyDescent="0.25">
      <c r="A91" s="239" t="s">
        <v>174</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4.4" thickBot="1" x14ac:dyDescent="0.3">
      <c r="A92" s="244" t="s">
        <v>175</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exe0aWU0K4SZpGSqMUKamYMmKQ8b3i/2m6EXWJ2Zah2nuIquSkONB45zKOg1nW87cbHwbjj13WV5IjMpMJxs3A==" saltValue="P8ENitMf04fhCgvA7U1JeA==" spinCount="100000" sheet="1" objects="1" scenarios="1"/>
  <autoFilter ref="A11:AE83" xr:uid="{00000000-0009-0000-0000-000000000000}"/>
  <mergeCells count="2">
    <mergeCell ref="A10:S10"/>
    <mergeCell ref="T10:AE10"/>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4.4" x14ac:dyDescent="0.3"/>
  <cols>
    <col min="1" max="4" width="26.21875" customWidth="1"/>
  </cols>
  <sheetData>
    <row r="1" spans="1:4" ht="42" customHeight="1" x14ac:dyDescent="0.3">
      <c r="A1" s="57" t="s">
        <v>209</v>
      </c>
      <c r="B1" s="58" t="s">
        <v>210</v>
      </c>
      <c r="C1" s="58" t="s">
        <v>211</v>
      </c>
      <c r="D1" s="59" t="s">
        <v>212</v>
      </c>
    </row>
    <row r="2" spans="1:4" x14ac:dyDescent="0.3">
      <c r="A2" s="16" t="s">
        <v>1</v>
      </c>
      <c r="B2" s="67">
        <v>3001371</v>
      </c>
      <c r="C2" s="68">
        <v>5175184</v>
      </c>
      <c r="D2" s="68"/>
    </row>
    <row r="3" spans="1:4" x14ac:dyDescent="0.3">
      <c r="A3" s="16" t="s">
        <v>213</v>
      </c>
      <c r="B3" s="67">
        <v>444783</v>
      </c>
      <c r="C3" s="68">
        <v>1268815</v>
      </c>
      <c r="D3" s="68"/>
    </row>
    <row r="4" spans="1:4" x14ac:dyDescent="0.3">
      <c r="A4" s="16" t="s">
        <v>214</v>
      </c>
      <c r="B4" s="67">
        <v>2156511</v>
      </c>
      <c r="C4" s="68">
        <v>5146105</v>
      </c>
      <c r="D4" s="68"/>
    </row>
    <row r="5" spans="1:4" x14ac:dyDescent="0.3">
      <c r="A5" s="16" t="s">
        <v>215</v>
      </c>
      <c r="B5" s="67">
        <v>845153</v>
      </c>
      <c r="C5" s="68">
        <v>4397869</v>
      </c>
      <c r="D5" s="68"/>
    </row>
    <row r="6" spans="1:4" x14ac:dyDescent="0.3">
      <c r="A6" s="16" t="s">
        <v>216</v>
      </c>
      <c r="B6" s="67">
        <v>13912768</v>
      </c>
      <c r="C6" s="68">
        <v>80884238</v>
      </c>
      <c r="D6" s="68"/>
    </row>
    <row r="7" spans="1:4" x14ac:dyDescent="0.3">
      <c r="A7" s="16" t="s">
        <v>217</v>
      </c>
      <c r="B7" s="67">
        <v>1542315</v>
      </c>
      <c r="C7" s="68">
        <v>16812290</v>
      </c>
      <c r="D7" s="68"/>
    </row>
    <row r="8" spans="1:4" x14ac:dyDescent="0.3">
      <c r="A8" s="16" t="s">
        <v>218</v>
      </c>
      <c r="B8" s="67">
        <v>854101</v>
      </c>
      <c r="C8" s="68">
        <v>4310318</v>
      </c>
      <c r="D8" s="68"/>
    </row>
    <row r="9" spans="1:4" x14ac:dyDescent="0.3">
      <c r="A9" s="16" t="s">
        <v>219</v>
      </c>
      <c r="B9" s="67">
        <v>347825</v>
      </c>
      <c r="C9" s="68">
        <v>420968</v>
      </c>
      <c r="D9" s="68"/>
    </row>
    <row r="10" spans="1:4" x14ac:dyDescent="0.3">
      <c r="A10" s="16" t="s">
        <v>220</v>
      </c>
      <c r="B10" s="67">
        <v>444231</v>
      </c>
      <c r="C10" s="68">
        <v>10563518</v>
      </c>
      <c r="D10" s="68"/>
    </row>
    <row r="11" spans="1:4" x14ac:dyDescent="0.3">
      <c r="A11" s="16" t="s">
        <v>221</v>
      </c>
      <c r="B11" s="67">
        <v>6122540</v>
      </c>
      <c r="C11" s="68">
        <v>102386</v>
      </c>
      <c r="D11" s="68"/>
    </row>
    <row r="12" spans="1:4" x14ac:dyDescent="0.3">
      <c r="A12" s="16" t="s">
        <v>222</v>
      </c>
      <c r="B12" s="67">
        <v>4302066</v>
      </c>
      <c r="C12" s="68">
        <v>1598829</v>
      </c>
      <c r="D12" s="68"/>
    </row>
    <row r="13" spans="1:4" x14ac:dyDescent="0.3">
      <c r="A13" s="16" t="s">
        <v>223</v>
      </c>
      <c r="B13" s="67">
        <v>100000</v>
      </c>
      <c r="C13" s="68">
        <v>34436</v>
      </c>
      <c r="D13" s="68"/>
    </row>
    <row r="14" spans="1:4" x14ac:dyDescent="0.3">
      <c r="A14" s="16" t="s">
        <v>224</v>
      </c>
      <c r="B14" s="67">
        <v>540131</v>
      </c>
      <c r="C14" s="68">
        <v>1542770</v>
      </c>
      <c r="D14" s="68"/>
    </row>
    <row r="15" spans="1:4" x14ac:dyDescent="0.3">
      <c r="A15" s="16" t="s">
        <v>225</v>
      </c>
      <c r="B15" s="67">
        <v>915588</v>
      </c>
      <c r="C15" s="68">
        <v>330544</v>
      </c>
      <c r="D15" s="68"/>
    </row>
    <row r="16" spans="1:4" x14ac:dyDescent="0.3">
      <c r="A16" s="16" t="s">
        <v>226</v>
      </c>
      <c r="B16" s="67">
        <v>7867326</v>
      </c>
      <c r="C16" s="68">
        <v>24522816</v>
      </c>
      <c r="D16" s="68"/>
    </row>
    <row r="17" spans="1:4" x14ac:dyDescent="0.3">
      <c r="A17" s="16" t="s">
        <v>227</v>
      </c>
      <c r="B17" s="67">
        <v>1427245</v>
      </c>
      <c r="C17" s="68">
        <v>4281179</v>
      </c>
      <c r="D17" s="68"/>
    </row>
    <row r="18" spans="1:4" x14ac:dyDescent="0.3">
      <c r="A18" s="16" t="s">
        <v>228</v>
      </c>
      <c r="B18" s="67">
        <v>499493</v>
      </c>
      <c r="C18" s="68">
        <v>674351</v>
      </c>
      <c r="D18" s="68"/>
    </row>
    <row r="19" spans="1:4" x14ac:dyDescent="0.3">
      <c r="A19" s="16" t="s">
        <v>229</v>
      </c>
      <c r="B19" s="67">
        <v>590081</v>
      </c>
      <c r="C19" s="68">
        <v>613441</v>
      </c>
      <c r="D19" s="68"/>
    </row>
    <row r="20" spans="1:4" x14ac:dyDescent="0.3">
      <c r="A20" s="16" t="s">
        <v>230</v>
      </c>
      <c r="B20" s="67">
        <v>1414039</v>
      </c>
      <c r="C20" s="68">
        <v>948690</v>
      </c>
      <c r="D20" s="68"/>
    </row>
    <row r="21" spans="1:4" x14ac:dyDescent="0.3">
      <c r="A21" s="16" t="s">
        <v>231</v>
      </c>
      <c r="B21" s="67">
        <v>1504382</v>
      </c>
      <c r="C21" s="68">
        <v>11898970</v>
      </c>
      <c r="D21" s="68"/>
    </row>
    <row r="22" spans="1:4" x14ac:dyDescent="0.3">
      <c r="A22" s="16" t="s">
        <v>232</v>
      </c>
      <c r="B22" s="67">
        <v>400606</v>
      </c>
      <c r="C22" s="68">
        <v>760337</v>
      </c>
      <c r="D22" s="68"/>
    </row>
    <row r="23" spans="1:4" x14ac:dyDescent="0.3">
      <c r="A23" s="16" t="s">
        <v>233</v>
      </c>
      <c r="B23" s="67">
        <v>2216740</v>
      </c>
      <c r="C23" s="68">
        <v>11041639</v>
      </c>
      <c r="D23" s="68"/>
    </row>
    <row r="24" spans="1:4" x14ac:dyDescent="0.3">
      <c r="A24" s="16" t="s">
        <v>234</v>
      </c>
      <c r="B24" s="67">
        <v>2999809</v>
      </c>
      <c r="C24" s="68">
        <v>5942834</v>
      </c>
      <c r="D24" s="68"/>
    </row>
    <row r="25" spans="1:4" x14ac:dyDescent="0.3">
      <c r="A25" s="16" t="s">
        <v>235</v>
      </c>
      <c r="B25" s="67">
        <v>2042857</v>
      </c>
      <c r="C25" s="68">
        <v>1049618</v>
      </c>
      <c r="D25" s="68"/>
    </row>
    <row r="26" spans="1:4" x14ac:dyDescent="0.3">
      <c r="A26" s="16" t="s">
        <v>236</v>
      </c>
      <c r="B26" s="67">
        <v>1282819</v>
      </c>
      <c r="C26" s="68">
        <v>4105728</v>
      </c>
      <c r="D26" s="68"/>
    </row>
    <row r="27" spans="1:4" x14ac:dyDescent="0.3">
      <c r="A27" s="16" t="s">
        <v>237</v>
      </c>
      <c r="B27" s="67">
        <v>1306915</v>
      </c>
      <c r="C27" s="68">
        <v>1538338</v>
      </c>
      <c r="D27" s="68"/>
    </row>
    <row r="28" spans="1:4" x14ac:dyDescent="0.3">
      <c r="A28" s="16" t="s">
        <v>238</v>
      </c>
      <c r="B28" s="67">
        <v>1484312</v>
      </c>
      <c r="C28" s="68">
        <v>3623768</v>
      </c>
      <c r="D28" s="68"/>
    </row>
    <row r="29" spans="1:4" x14ac:dyDescent="0.3">
      <c r="A29" s="16" t="s">
        <v>239</v>
      </c>
      <c r="B29" s="67">
        <v>207108</v>
      </c>
      <c r="C29" s="68">
        <v>89636</v>
      </c>
      <c r="D29" s="68"/>
    </row>
    <row r="30" spans="1:4" x14ac:dyDescent="0.3">
      <c r="A30" s="16" t="s">
        <v>240</v>
      </c>
      <c r="B30" s="67">
        <v>295386</v>
      </c>
      <c r="C30" s="68">
        <v>516734</v>
      </c>
      <c r="D30" s="68"/>
    </row>
    <row r="31" spans="1:4" x14ac:dyDescent="0.3">
      <c r="A31" s="16" t="s">
        <v>241</v>
      </c>
      <c r="B31" s="67">
        <v>1503375</v>
      </c>
      <c r="C31" s="68">
        <v>50332</v>
      </c>
      <c r="D31" s="68"/>
    </row>
    <row r="32" spans="1:4" x14ac:dyDescent="0.3">
      <c r="A32" s="16" t="s">
        <v>242</v>
      </c>
      <c r="B32" s="67">
        <v>186517</v>
      </c>
      <c r="C32" s="68">
        <v>68428</v>
      </c>
      <c r="D32" s="68"/>
    </row>
    <row r="33" spans="1:4" x14ac:dyDescent="0.3">
      <c r="A33" s="16" t="s">
        <v>243</v>
      </c>
      <c r="B33" s="67">
        <v>593088</v>
      </c>
      <c r="C33" s="68">
        <v>28186767</v>
      </c>
      <c r="D33" s="68"/>
    </row>
    <row r="34" spans="1:4" x14ac:dyDescent="0.3">
      <c r="A34" s="16" t="s">
        <v>244</v>
      </c>
      <c r="B34" s="67">
        <v>1426444</v>
      </c>
      <c r="C34" s="68">
        <v>10000</v>
      </c>
      <c r="D34" s="68"/>
    </row>
    <row r="35" spans="1:4" x14ac:dyDescent="0.3">
      <c r="A35" s="16" t="s">
        <v>245</v>
      </c>
      <c r="B35" s="67">
        <v>6276963</v>
      </c>
      <c r="C35" s="68">
        <v>95814665</v>
      </c>
      <c r="D35" s="68"/>
    </row>
    <row r="36" spans="1:4" x14ac:dyDescent="0.3">
      <c r="A36" s="16" t="s">
        <v>246</v>
      </c>
      <c r="B36" s="67">
        <v>3835353</v>
      </c>
      <c r="C36" s="68">
        <v>5845582</v>
      </c>
      <c r="D36" s="68"/>
    </row>
    <row r="37" spans="1:4" x14ac:dyDescent="0.3">
      <c r="A37" s="16" t="s">
        <v>247</v>
      </c>
      <c r="B37" s="67">
        <v>100000</v>
      </c>
      <c r="C37" s="68">
        <v>577666</v>
      </c>
      <c r="D37" s="68"/>
    </row>
    <row r="38" spans="1:4" x14ac:dyDescent="0.3">
      <c r="A38" s="16" t="s">
        <v>248</v>
      </c>
      <c r="B38" s="67">
        <v>2726487</v>
      </c>
      <c r="C38" s="68">
        <v>11475700</v>
      </c>
      <c r="D38" s="68"/>
    </row>
    <row r="39" spans="1:4" x14ac:dyDescent="0.3">
      <c r="A39" s="16" t="s">
        <v>249</v>
      </c>
      <c r="B39" s="67">
        <v>1986510</v>
      </c>
      <c r="C39" s="68">
        <v>5771131</v>
      </c>
      <c r="D39" s="68"/>
    </row>
    <row r="40" spans="1:4" x14ac:dyDescent="0.3">
      <c r="A40" s="16" t="s">
        <v>250</v>
      </c>
      <c r="B40" s="67">
        <v>2564273</v>
      </c>
      <c r="C40" s="68">
        <v>36551572</v>
      </c>
      <c r="D40" s="68"/>
    </row>
    <row r="41" spans="1:4" x14ac:dyDescent="0.3">
      <c r="A41" s="16" t="s">
        <v>251</v>
      </c>
      <c r="B41" s="67">
        <v>5124029</v>
      </c>
      <c r="C41" s="68">
        <v>11217343</v>
      </c>
      <c r="D41" s="68"/>
    </row>
    <row r="42" spans="1:4" x14ac:dyDescent="0.3">
      <c r="A42" s="16" t="s">
        <v>252</v>
      </c>
      <c r="B42" s="67">
        <v>372392</v>
      </c>
      <c r="C42" s="68">
        <v>2412953</v>
      </c>
      <c r="D42" s="68"/>
    </row>
    <row r="43" spans="1:4" x14ac:dyDescent="0.3">
      <c r="A43" s="16" t="s">
        <v>253</v>
      </c>
      <c r="B43" s="67">
        <v>1578228</v>
      </c>
      <c r="C43" s="68">
        <v>1384566</v>
      </c>
      <c r="D43" s="68"/>
    </row>
    <row r="44" spans="1:4" x14ac:dyDescent="0.3">
      <c r="A44" s="16" t="s">
        <v>254</v>
      </c>
      <c r="B44" s="67">
        <v>176820</v>
      </c>
      <c r="C44" s="68">
        <v>10000</v>
      </c>
      <c r="D44" s="68"/>
    </row>
    <row r="45" spans="1:4" x14ac:dyDescent="0.3">
      <c r="A45" s="16" t="s">
        <v>255</v>
      </c>
      <c r="B45" s="67">
        <v>2371598</v>
      </c>
      <c r="C45" s="68">
        <v>10548543</v>
      </c>
      <c r="D45" s="68"/>
    </row>
    <row r="46" spans="1:4" x14ac:dyDescent="0.3">
      <c r="A46" s="16" t="s">
        <v>256</v>
      </c>
      <c r="B46" s="67">
        <v>5259331</v>
      </c>
      <c r="C46" s="68">
        <v>9194500</v>
      </c>
      <c r="D46" s="68"/>
    </row>
    <row r="47" spans="1:4" x14ac:dyDescent="0.3">
      <c r="A47" s="16" t="s">
        <v>257</v>
      </c>
      <c r="B47" s="67">
        <v>377464</v>
      </c>
      <c r="C47" s="68">
        <v>34822</v>
      </c>
      <c r="D47" s="68"/>
    </row>
    <row r="48" spans="1:4" x14ac:dyDescent="0.3">
      <c r="A48" s="16" t="s">
        <v>258</v>
      </c>
      <c r="B48" s="67">
        <v>147853</v>
      </c>
      <c r="C48" s="68">
        <v>2677993</v>
      </c>
      <c r="D48" s="68"/>
    </row>
    <row r="49" spans="1:4" x14ac:dyDescent="0.3">
      <c r="A49" s="16" t="s">
        <v>259</v>
      </c>
      <c r="B49" s="67">
        <v>838196</v>
      </c>
      <c r="C49" s="68">
        <v>9393064</v>
      </c>
      <c r="D49" s="68"/>
    </row>
    <row r="50" spans="1:4" x14ac:dyDescent="0.3">
      <c r="A50" s="16" t="s">
        <v>260</v>
      </c>
      <c r="B50" s="67">
        <v>100000</v>
      </c>
      <c r="C50" s="68">
        <v>10000</v>
      </c>
      <c r="D50" s="68"/>
    </row>
    <row r="51" spans="1:4" x14ac:dyDescent="0.3">
      <c r="A51" s="16" t="s">
        <v>261</v>
      </c>
      <c r="B51" s="67">
        <v>2615422</v>
      </c>
      <c r="C51" s="68">
        <v>30566086</v>
      </c>
      <c r="D51" s="68"/>
    </row>
    <row r="52" spans="1:4" x14ac:dyDescent="0.3">
      <c r="A52" s="16" t="s">
        <v>262</v>
      </c>
      <c r="B52" s="67">
        <v>629008</v>
      </c>
      <c r="C52" s="68">
        <v>471918</v>
      </c>
      <c r="D52" s="68"/>
    </row>
    <row r="53" spans="1:4" x14ac:dyDescent="0.3">
      <c r="A53" s="16" t="s">
        <v>263</v>
      </c>
      <c r="B53" s="67">
        <v>1942148</v>
      </c>
      <c r="C53" s="68">
        <v>33794149</v>
      </c>
      <c r="D53" s="68"/>
    </row>
    <row r="54" spans="1:4" x14ac:dyDescent="0.3">
      <c r="A54" s="16" t="s">
        <v>264</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1E463603750242BE042A1C3B2080EF" ma:contentTypeVersion="18" ma:contentTypeDescription="Create a new document." ma:contentTypeScope="" ma:versionID="52a84dbcce8f6ea9515a906308a656b9">
  <xsd:schema xmlns:xsd="http://www.w3.org/2001/XMLSchema" xmlns:xs="http://www.w3.org/2001/XMLSchema" xmlns:p="http://schemas.microsoft.com/office/2006/metadata/properties" xmlns:ns2="8c5343f2-f10a-467e-bae2-c6b43f86b6ef" xmlns:ns3="85a86e0a-8e3a-4eab-af2e-422ae879a662" xmlns:ns4="73fb875a-8af9-4255-b008-0995492d31cd" targetNamespace="http://schemas.microsoft.com/office/2006/metadata/properties" ma:root="true" ma:fieldsID="e9dced30ff283e2b95f14a25e1690c9c" ns2:_="" ns3:_="" ns4:_="">
    <xsd:import namespace="8c5343f2-f10a-467e-bae2-c6b43f86b6ef"/>
    <xsd:import namespace="85a86e0a-8e3a-4eab-af2e-422ae879a662"/>
    <xsd:import namespace="73fb875a-8af9-4255-b008-0995492d31c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NotesonUse"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343f2-f10a-467e-bae2-c6b43f86b6ef"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dexed="true"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a86e0a-8e3a-4eab-af2e-422ae879a6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NotesonUse" ma:index="24" nillable="true" ma:displayName="Notes" ma:format="Dropdown" ma:internalName="NotesonUs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7c83cc1-31aa-415d-a14c-677b5cd24acc}" ma:internalName="TaxCatchAll" ma:showField="CatchAllData" ma:web="8c5343f2-f10a-467e-bae2-c6b43f86b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5a86e0a-8e3a-4eab-af2e-422ae879a662">
      <Terms xmlns="http://schemas.microsoft.com/office/infopath/2007/PartnerControls"/>
    </lcf76f155ced4ddcb4097134ff3c332f>
    <_dlc_DocId xmlns="8c5343f2-f10a-467e-bae2-c6b43f86b6ef">UZZDYTT6URQT-1534827174-3453</_dlc_DocId>
    <_dlc_DocIdUrl xmlns="8c5343f2-f10a-467e-bae2-c6b43f86b6ef">
      <Url>https://usdagcc.sharepoint.com/sites/FNCS-ROS/FNCS-ROSGeneralCollab/_layouts/15/DocIdRedir.aspx?ID=UZZDYTT6URQT-1534827174-3453</Url>
      <Description>UZZDYTT6URQT-1534827174-3453</Description>
    </_dlc_DocIdUrl>
    <NotesonUse xmlns="85a86e0a-8e3a-4eab-af2e-422ae879a662"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6E87E61-CEE9-48A6-B7A9-715C1A0BE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343f2-f10a-467e-bae2-c6b43f86b6ef"/>
    <ds:schemaRef ds:uri="85a86e0a-8e3a-4eab-af2e-422ae879a662"/>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CB29C5A2-5A47-49CE-95CF-41A36848027F}">
  <ds:schemaRefs>
    <ds:schemaRef ds:uri="http://schemas.microsoft.com/office/2006/documentManagement/types"/>
    <ds:schemaRef ds:uri="8c5343f2-f10a-467e-bae2-c6b43f86b6ef"/>
    <ds:schemaRef ds:uri="http://purl.org/dc/elements/1.1/"/>
    <ds:schemaRef ds:uri="http://purl.org/dc/terms/"/>
    <ds:schemaRef ds:uri="85a86e0a-8e3a-4eab-af2e-422ae879a662"/>
    <ds:schemaRef ds:uri="73fb875a-8af9-4255-b008-0995492d31cd"/>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B9217CA-8AD8-4EA3-9E2F-C8FFC55C1B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C -Fund Sources &amp; Total FY Fund</vt:lpstr>
      <vt:lpstr>B - Operating Budget</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Mengesha, Isabelle - FNS</cp:lastModifiedBy>
  <cp:revision/>
  <dcterms:created xsi:type="dcterms:W3CDTF">2019-10-18T16:48:06Z</dcterms:created>
  <dcterms:modified xsi:type="dcterms:W3CDTF">2024-12-20T21:17:44Z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0x010100851E463603750242BE042A1C3B2080EF</vt:lpwstr>
  </property>
  <property fmtid="{D5CDD505-2E9C-101B-9397-08002B2CF9AE}" pid="3" name="_dlc_DocIdItemGuid">
    <vt:lpwstr>c40b2779-932d-4036-b8f8-e4f396b5199c</vt:lpwstr>
  </property>
  <property fmtid="{D5CDD505-2E9C-101B-9397-08002B2CF9AE}" pid="4" name="MediaServiceImageTags">
    <vt:lpwstr/>
  </property>
</Properties>
</file>